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Акт КС-2 по ТСН-2001" sheetId="1" r:id="rId1"/>
    <sheet name="Смета по ТСН-2001" sheetId="2" r:id="rId2"/>
    <sheet name="Source" sheetId="3" r:id="rId3"/>
    <sheet name="SmtRes" sheetId="4" r:id="rId4"/>
    <sheet name="EtalonRes" sheetId="5" r:id="rId5"/>
    <sheet name="ClcRes" sheetId="6" r:id="rId6"/>
  </sheets>
  <definedNames>
    <definedName name="_xlnm.Print_Titles" localSheetId="0">'Акт КС-2 по ТСН-2001'!$38:$38</definedName>
    <definedName name="_xlnm.Print_Titles" localSheetId="1">'Смета по ТСН-2001'!$39:$39</definedName>
    <definedName name="_xlnm.Print_Area" localSheetId="0">'Акт КС-2 по ТСН-2001'!$A$1:$L$74</definedName>
    <definedName name="_xlnm.Print_Area" localSheetId="1">'Смета по ТСН-2001'!$A$1:$K$75</definedName>
  </definedNames>
  <calcPr fullCalcOnLoad="1"/>
</workbook>
</file>

<file path=xl/sharedStrings.xml><?xml version="1.0" encoding="utf-8"?>
<sst xmlns="http://schemas.openxmlformats.org/spreadsheetml/2006/main" count="415" uniqueCount="162">
  <si>
    <t>Smeta.ru  (495) 974-1589</t>
  </si>
  <si>
    <t>_PS_</t>
  </si>
  <si>
    <t>Smeta.ru</t>
  </si>
  <si>
    <t/>
  </si>
  <si>
    <t>Новый объект</t>
  </si>
  <si>
    <t>345 Смета</t>
  </si>
  <si>
    <t>ТСН-2001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</si>
  <si>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</si>
  <si>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</si>
  <si>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</si>
  <si>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</t>
  </si>
  <si>
    <t>Поправки для ТСН-2001</t>
  </si>
  <si>
    <t>Новая локальная смета</t>
  </si>
  <si>
    <t>{C3164505-F18A-49D2-99E4-8143E6855B2C}</t>
  </si>
  <si>
    <t>2</t>
  </si>
  <si>
    <t>4.7-1-2</t>
  </si>
  <si>
    <t>шт.</t>
  </si>
  <si>
    <t>ТСН-2001.4. База. Сб.7, т.1, поз.2</t>
  </si>
  <si>
    <t>)*0,8</t>
  </si>
  <si>
    <t>Монтаж оборудования</t>
  </si>
  <si>
    <t>ТСН-2001.4-7. 7-1...7-24</t>
  </si>
  <si>
    <t>ТСН-2001.4-7-1</t>
  </si>
  <si>
    <t>3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</si>
  <si>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</si>
  <si>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</si>
  <si>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</si>
  <si>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</si>
  <si>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</si>
  <si>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</si>
  <si>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</si>
  <si>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</si>
  <si>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</si>
  <si>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</si>
  <si>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</si>
  <si>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</si>
  <si>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</si>
  <si>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</si>
  <si>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</si>
  <si>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</si>
  <si>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</si>
  <si>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</si>
  <si>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</si>
  <si>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</si>
  <si>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</si>
  <si>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</si>
  <si>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</si>
  <si>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</si>
  <si>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</si>
  <si>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</si>
  <si>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</si>
  <si>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по смете</t>
  </si>
  <si>
    <t>ндс</t>
  </si>
  <si>
    <t>НДС 18%</t>
  </si>
  <si>
    <t>итого</t>
  </si>
  <si>
    <t>Итого с НДС</t>
  </si>
  <si>
    <t>Форма № 1а</t>
  </si>
  <si>
    <t>"СОГЛАСОВАНО"</t>
  </si>
  <si>
    <t>"УТВЕРЖДАЮ"</t>
  </si>
  <si>
    <t>(локальный сметный расчет)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</si>
  <si>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</si>
  <si>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</si>
  <si>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</si>
  <si>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</si>
  <si>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</si>
  <si>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</si>
  <si>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</si>
  <si>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</si>
  <si>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</si>
  <si>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</si>
  <si>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</si>
  <si>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</si>
  <si>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</si>
  <si>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</si>
  <si>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</si>
  <si>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</si>
  <si>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</si>
  <si>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</si>
  <si>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</si>
  <si>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</si>
  <si>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</si>
  <si>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</si>
  <si>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</si>
  <si>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</si>
  <si>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</si>
  <si>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</si>
  <si>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</si>
  <si>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</si>
  <si>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</si>
  <si>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</si>
  <si>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</si>
  <si>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</si>
  <si>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</si>
  <si>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</si>
  <si>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</si>
  <si>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</si>
  <si>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</si>
  <si>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</si>
  <si>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</si>
  <si>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</si>
  <si>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</si>
  <si>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</si>
  <si>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</si>
  <si>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</si>
  <si>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</si>
  <si>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</si>
  <si>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</si>
  <si>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</si>
  <si>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</si>
  <si>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</si>
  <si>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</si>
  <si>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</si>
  <si>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</si>
  <si>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</si>
  <si>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</si>
  <si>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</si>
  <si>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>Итого</t>
  </si>
  <si>
    <t>Итого по объекту</t>
  </si>
  <si>
    <t>Итого по смете</t>
  </si>
  <si>
    <t>Составил</t>
  </si>
  <si>
    <t>[должность,подпись(инициалы,фамилия)]</t>
  </si>
  <si>
    <t>Проверил: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</si>
  <si>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</si>
  <si>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</si>
  <si>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</si>
  <si>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</si>
  <si>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</si>
  <si>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</si>
  <si>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</si>
  <si>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</si>
  <si>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</si>
  <si>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</si>
  <si>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</si>
  <si>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</si>
  <si>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</si>
  <si>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</si>
  <si>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</si>
  <si>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</si>
  <si>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</si>
  <si>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</si>
  <si>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</si>
  <si>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</si>
  <si>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</si>
  <si>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</si>
  <si>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</si>
  <si>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</si>
  <si>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</si>
  <si>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</si>
  <si>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</si>
  <si>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</si>
  <si>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>Сдал</t>
  </si>
  <si>
    <t>Принял</t>
  </si>
  <si>
    <t>Номер</t>
  </si>
  <si>
    <t>поз. по смете</t>
  </si>
  <si>
    <t>Богачев Г.А.                        /__________________________/</t>
  </si>
  <si>
    <t>Локальная смета</t>
  </si>
  <si>
    <t xml:space="preserve">Монтаж (замена) компрессоров  в кондицинерах Mitsubishi FDCJ 280 HKXE2D (в т.ч. пусконаладочные работы и заправка фреоном) в здании МДЦМП Марьино, расположенного по адресу: г. Москва, ул. Люблинская, д. 151 </t>
  </si>
  <si>
    <t>Заказчик                         ОАО "МДЦМП Марьино"</t>
  </si>
  <si>
    <t xml:space="preserve">Подрядчик              </t>
  </si>
  <si>
    <t xml:space="preserve">                   /_________________________/ </t>
  </si>
  <si>
    <t>УСТАНОВКА КОМПРЕССОРОВ ПРОИЗВОДИТЕЛЬНОСТЬЮ 28КВТ с заправкой фреона</t>
  </si>
  <si>
    <t>Приложение №1 к договору подряда № _________ от _____ октября 2013г.</t>
  </si>
  <si>
    <t>ДЕМОНТАЖ КОМПРЕССОРОВ ПРОИЗВОДИТЕЛЬНОСТЬЮ 18КВТ со слитием фреона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</si>
</sst>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72" fontId="9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17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172" fontId="0" fillId="0" borderId="0" xfId="0" applyNumberFormat="1" applyAlignment="1">
      <alignment horizontal="right"/>
    </xf>
    <xf numFmtId="172" fontId="15" fillId="0" borderId="10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2" fontId="1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0" fontId="14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2" fontId="13" fillId="0" borderId="0" xfId="0" applyNumberFormat="1" applyFont="1" applyAlignment="1">
      <alignment horizontal="right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zoomScale="127" zoomScaleNormal="127" zoomScalePageLayoutView="0" workbookViewId="0" topLeftCell="A1">
      <selection activeCell="A1" sqref="A1:M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2.28125" style="0" customWidth="1"/>
    <col min="4" max="4" width="30.7109375" style="0" customWidth="1"/>
    <col min="5" max="5" width="10.7109375" style="0" customWidth="1"/>
    <col min="8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27" width="0" style="0" hidden="1" customWidth="1"/>
    <col min="28" max="28" width="57.00390625" style="0" hidden="1" customWidth="1"/>
    <col min="29" max="29" width="0" style="0" hidden="1" customWidth="1"/>
  </cols>
  <sheetData>
    <row r="1" spans="1:12" s="4" customFormat="1" ht="11.25">
      <c r="A1" s="38" t="str">
        <f>CONCATENATE(Source!B1,"     ТСН-2001 (© ОАО МЦЦС 'Мосстройцены', 2006)")</f>
        <v>Smeta.ru  (495) 974-1589     ТСН-2001 (© ОАО МЦЦС 'Мосстройцены', 2006)</v>
      </c>
      <c r="B1" s="38"/>
      <c r="I1" s="55" t="s">
        <v>121</v>
      </c>
      <c r="J1" s="55"/>
      <c r="K1" s="55"/>
      <c r="L1" s="55"/>
    </row>
    <row r="2" spans="9:12" ht="12.75">
      <c r="I2" s="55" t="s">
        <v>122</v>
      </c>
      <c r="J2" s="55"/>
      <c r="K2" s="55"/>
      <c r="L2" s="55"/>
    </row>
    <row r="3" spans="9:12" ht="12.75">
      <c r="I3" s="55" t="s">
        <v>123</v>
      </c>
      <c r="J3" s="55"/>
      <c r="K3" s="55"/>
      <c r="L3" s="55"/>
    </row>
    <row r="5" spans="11:12" s="4" customFormat="1" ht="11.25">
      <c r="K5" s="56" t="s">
        <v>124</v>
      </c>
      <c r="L5" s="57"/>
    </row>
    <row r="6" spans="10:12" s="4" customFormat="1" ht="11.25">
      <c r="J6" s="40" t="s">
        <v>125</v>
      </c>
      <c r="K6" s="58" t="s">
        <v>126</v>
      </c>
      <c r="L6" s="59"/>
    </row>
    <row r="7" spans="11:12" ht="12.75">
      <c r="K7" s="56"/>
      <c r="L7" s="60"/>
    </row>
    <row r="8" spans="1:28" s="4" customFormat="1" ht="11.25">
      <c r="A8" s="4" t="s">
        <v>127</v>
      </c>
      <c r="D8" s="63"/>
      <c r="E8" s="63"/>
      <c r="F8" s="63"/>
      <c r="G8" s="63"/>
      <c r="J8" s="40" t="s">
        <v>128</v>
      </c>
      <c r="K8" s="61"/>
      <c r="L8" s="62"/>
      <c r="AB8" s="41"/>
    </row>
    <row r="9" spans="4:12" s="4" customFormat="1" ht="11.25">
      <c r="D9" s="64" t="s">
        <v>129</v>
      </c>
      <c r="E9" s="64"/>
      <c r="F9" s="64"/>
      <c r="G9" s="64"/>
      <c r="K9" s="56"/>
      <c r="L9" s="57"/>
    </row>
    <row r="10" spans="1:28" s="4" customFormat="1" ht="11.25">
      <c r="A10" s="4" t="s">
        <v>130</v>
      </c>
      <c r="D10" s="63" t="str">
        <f>IF(Source!CG12&lt;&gt;"",Source!CG12," ")</f>
        <v> </v>
      </c>
      <c r="E10" s="63"/>
      <c r="F10" s="63"/>
      <c r="G10" s="63"/>
      <c r="J10" s="40" t="s">
        <v>128</v>
      </c>
      <c r="K10" s="65"/>
      <c r="L10" s="66"/>
      <c r="AB10" s="41" t="str">
        <f>IF(Source!CG12&lt;&gt;"",Source!CG12," ")</f>
        <v> </v>
      </c>
    </row>
    <row r="11" spans="4:12" s="4" customFormat="1" ht="11.25">
      <c r="D11" s="64" t="s">
        <v>129</v>
      </c>
      <c r="E11" s="64"/>
      <c r="F11" s="64"/>
      <c r="G11" s="64"/>
      <c r="K11" s="56"/>
      <c r="L11" s="57"/>
    </row>
    <row r="12" spans="1:28" s="4" customFormat="1" ht="11.25">
      <c r="A12" s="4" t="s">
        <v>131</v>
      </c>
      <c r="D12" s="63" t="str">
        <f>IF(Source!CH12&lt;&gt;"",Source!CH12," ")</f>
        <v> </v>
      </c>
      <c r="E12" s="63"/>
      <c r="F12" s="63"/>
      <c r="G12" s="63"/>
      <c r="J12" s="40" t="s">
        <v>128</v>
      </c>
      <c r="K12" s="65"/>
      <c r="L12" s="66"/>
      <c r="AB12" s="41" t="str">
        <f>IF(Source!CH12&lt;&gt;"",Source!CH12," ")</f>
        <v> </v>
      </c>
    </row>
    <row r="13" spans="4:12" s="4" customFormat="1" ht="11.25">
      <c r="D13" s="64" t="s">
        <v>129</v>
      </c>
      <c r="E13" s="64"/>
      <c r="F13" s="64"/>
      <c r="G13" s="64"/>
      <c r="K13" s="56" t="str">
        <f>IF(Source!CB15&lt;&gt;"",Source!CB15," ")</f>
        <v> </v>
      </c>
      <c r="L13" s="60"/>
    </row>
    <row r="14" spans="1:28" s="4" customFormat="1" ht="11.25">
      <c r="A14" s="4" t="s">
        <v>132</v>
      </c>
      <c r="D14" s="63" t="str">
        <f>IF(Source!G4&lt;&gt;"",Source!G4,IF(Source!F4&lt;&gt;"",Source!F4,IF(Source!G5&lt;&gt;"",Source!G5,IF(Source!F5&lt;&gt;"",Source!F5,IF(Source!G6&lt;&gt;"",Source!G6,IF(Source!F6&lt;&gt;"",Source!F6," "))))))</f>
        <v> </v>
      </c>
      <c r="E14" s="63"/>
      <c r="F14" s="63"/>
      <c r="G14" s="63"/>
      <c r="K14" s="61"/>
      <c r="L14" s="62"/>
      <c r="AB14" s="41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5" spans="4:12" s="4" customFormat="1" ht="11.25">
      <c r="D15" s="64" t="s">
        <v>133</v>
      </c>
      <c r="E15" s="64"/>
      <c r="F15" s="64"/>
      <c r="G15" s="64"/>
      <c r="K15" s="56" t="str">
        <f>IF(Source!CC15&lt;&gt;"",Source!CC15," ")</f>
        <v> </v>
      </c>
      <c r="L15" s="60"/>
    </row>
    <row r="16" spans="1:28" s="4" customFormat="1" ht="11.25">
      <c r="A16" s="4" t="s">
        <v>134</v>
      </c>
      <c r="D16" s="63" t="str">
        <f>IF(Source!G12&lt;&gt;"",Source!G12,IF(Source!F12&lt;&gt;"",Source!F12," "))</f>
        <v>345 Смета</v>
      </c>
      <c r="E16" s="63"/>
      <c r="F16" s="63"/>
      <c r="G16" s="63"/>
      <c r="K16" s="67"/>
      <c r="L16" s="68"/>
      <c r="AB16" s="41" t="str">
        <f>IF(Source!G12&lt;&gt;"",Source!G12,IF(Source!F12&lt;&gt;"",Source!F12," "))</f>
        <v>345 Смета</v>
      </c>
    </row>
    <row r="17" spans="4:7" s="4" customFormat="1" ht="11.25">
      <c r="D17" s="64" t="s">
        <v>135</v>
      </c>
      <c r="E17" s="64"/>
      <c r="F17" s="64"/>
      <c r="G17" s="64"/>
    </row>
    <row r="18" spans="8:12" s="4" customFormat="1" ht="11.25">
      <c r="H18" s="69" t="s">
        <v>136</v>
      </c>
      <c r="I18" s="69"/>
      <c r="J18" s="69"/>
      <c r="K18" s="70"/>
      <c r="L18" s="71"/>
    </row>
    <row r="19" spans="8:12" s="4" customFormat="1" ht="11.25">
      <c r="H19" s="69" t="s">
        <v>137</v>
      </c>
      <c r="I19" s="69"/>
      <c r="J19" s="39" t="s">
        <v>138</v>
      </c>
      <c r="K19" s="70"/>
      <c r="L19" s="71"/>
    </row>
    <row r="20" spans="10:12" s="4" customFormat="1" ht="11.25">
      <c r="J20" s="42" t="s">
        <v>139</v>
      </c>
      <c r="K20" s="70"/>
      <c r="L20" s="71"/>
    </row>
    <row r="21" spans="10:12" s="4" customFormat="1" ht="11.25">
      <c r="J21" s="40" t="s">
        <v>140</v>
      </c>
      <c r="K21" s="74"/>
      <c r="L21" s="75"/>
    </row>
    <row r="23" spans="8:11" ht="39" customHeight="1">
      <c r="H23" s="76" t="s">
        <v>141</v>
      </c>
      <c r="I23" s="76" t="s">
        <v>142</v>
      </c>
      <c r="J23" s="76" t="s">
        <v>143</v>
      </c>
      <c r="K23" s="78"/>
    </row>
    <row r="24" spans="8:11" ht="12.75">
      <c r="H24" s="77"/>
      <c r="I24" s="77"/>
      <c r="J24" s="44" t="s">
        <v>144</v>
      </c>
      <c r="K24" s="45" t="s">
        <v>145</v>
      </c>
    </row>
    <row r="25" spans="8:11" s="4" customFormat="1" ht="11.25">
      <c r="H25" s="42"/>
      <c r="I25" s="42"/>
      <c r="J25" s="42"/>
      <c r="K25" s="43"/>
    </row>
    <row r="27" spans="1:12" s="46" customFormat="1" ht="12.75">
      <c r="A27" s="79" t="s">
        <v>146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s="46" customFormat="1" ht="12.75">
      <c r="A28" s="79" t="s">
        <v>147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30" spans="1:12" ht="12.75">
      <c r="A30" s="4" t="s">
        <v>148</v>
      </c>
      <c r="B30" s="4"/>
      <c r="C30" s="4"/>
      <c r="D30" s="4"/>
      <c r="E30" s="4"/>
      <c r="F30" s="4"/>
      <c r="G30" s="4"/>
      <c r="H30" s="82">
        <f>(Source!O22+Source!X22+Source!Y22+Source!R22*167/100)/1000</f>
        <v>188.5593002</v>
      </c>
      <c r="I30" s="82"/>
      <c r="J30" s="4" t="s">
        <v>64</v>
      </c>
      <c r="K30" s="4"/>
      <c r="L30" s="4"/>
    </row>
    <row r="31" spans="1:7" ht="12.75">
      <c r="A31" s="4" t="s">
        <v>70</v>
      </c>
      <c r="B31" s="4"/>
      <c r="C31" s="4"/>
      <c r="D31" s="4"/>
      <c r="E31" s="16">
        <f>IF(AND(Source!P12&lt;&gt;0,Source!Q12&lt;&gt;0),DATE(Source!P12,Source!Q12,1),IF(Source!AF12=0,"",IF(Source!AN12=0,"",DATE(Source!AF12,Source!AN12,1))))</f>
        <v>41334</v>
      </c>
      <c r="F31" s="17">
        <f>IF(AND(Source!P12&lt;&gt;0,Source!Q12&lt;&gt;0),Source!P12,IF(Source!AF12=0,"",Source!AF12))</f>
        <v>2013</v>
      </c>
      <c r="G31" s="4" t="s">
        <v>71</v>
      </c>
    </row>
    <row r="33" spans="1:26" ht="12.75">
      <c r="A33" s="88" t="s">
        <v>151</v>
      </c>
      <c r="B33" s="89"/>
      <c r="C33" s="47"/>
      <c r="D33" s="22"/>
      <c r="E33" s="22"/>
      <c r="F33" s="22"/>
      <c r="G33" s="21" t="s">
        <v>84</v>
      </c>
      <c r="H33" s="83" t="s">
        <v>88</v>
      </c>
      <c r="I33" s="84"/>
      <c r="J33" s="21" t="s">
        <v>94</v>
      </c>
      <c r="K33" s="21" t="s">
        <v>97</v>
      </c>
      <c r="L33" s="20" t="s">
        <v>94</v>
      </c>
      <c r="Z33">
        <v>-1</v>
      </c>
    </row>
    <row r="34" spans="1:12" ht="12.75">
      <c r="A34" s="90" t="s">
        <v>73</v>
      </c>
      <c r="B34" s="90" t="s">
        <v>152</v>
      </c>
      <c r="C34" s="48" t="s">
        <v>74</v>
      </c>
      <c r="D34" s="23"/>
      <c r="E34" s="19" t="s">
        <v>79</v>
      </c>
      <c r="F34" s="19" t="s">
        <v>82</v>
      </c>
      <c r="G34" s="19" t="s">
        <v>85</v>
      </c>
      <c r="H34" s="21"/>
      <c r="I34" s="21" t="s">
        <v>91</v>
      </c>
      <c r="J34" s="19" t="s">
        <v>95</v>
      </c>
      <c r="K34" s="19" t="s">
        <v>98</v>
      </c>
      <c r="L34" s="18" t="s">
        <v>102</v>
      </c>
    </row>
    <row r="35" spans="1:12" ht="12.75">
      <c r="A35" s="91"/>
      <c r="B35" s="91"/>
      <c r="C35" s="48" t="s">
        <v>75</v>
      </c>
      <c r="D35" s="19" t="s">
        <v>78</v>
      </c>
      <c r="E35" s="19" t="s">
        <v>80</v>
      </c>
      <c r="F35" s="19" t="s">
        <v>83</v>
      </c>
      <c r="G35" s="19" t="s">
        <v>86</v>
      </c>
      <c r="H35" s="19" t="s">
        <v>89</v>
      </c>
      <c r="I35" s="19" t="s">
        <v>92</v>
      </c>
      <c r="J35" s="19" t="s">
        <v>96</v>
      </c>
      <c r="K35" s="19" t="s">
        <v>99</v>
      </c>
      <c r="L35" s="24" t="s">
        <v>103</v>
      </c>
    </row>
    <row r="36" spans="1:12" ht="12.75">
      <c r="A36" s="91"/>
      <c r="B36" s="91"/>
      <c r="C36" s="48" t="s">
        <v>76</v>
      </c>
      <c r="D36" s="23"/>
      <c r="E36" s="19" t="s">
        <v>81</v>
      </c>
      <c r="F36" s="23"/>
      <c r="G36" s="19" t="s">
        <v>87</v>
      </c>
      <c r="H36" s="19" t="s">
        <v>90</v>
      </c>
      <c r="I36" s="19" t="s">
        <v>93</v>
      </c>
      <c r="J36" s="19" t="s">
        <v>87</v>
      </c>
      <c r="K36" s="19" t="s">
        <v>100</v>
      </c>
      <c r="L36" s="18" t="s">
        <v>104</v>
      </c>
    </row>
    <row r="37" spans="1:12" ht="12.75">
      <c r="A37" s="92"/>
      <c r="B37" s="92"/>
      <c r="C37" s="48" t="s">
        <v>77</v>
      </c>
      <c r="D37" s="23"/>
      <c r="E37" s="23"/>
      <c r="F37" s="23"/>
      <c r="G37" s="23"/>
      <c r="H37" s="19"/>
      <c r="I37" s="19"/>
      <c r="J37" s="19"/>
      <c r="K37" s="19" t="s">
        <v>101</v>
      </c>
      <c r="L37" s="18"/>
    </row>
    <row r="38" spans="1:12" ht="12.75">
      <c r="A38" s="50">
        <v>1</v>
      </c>
      <c r="B38" s="50">
        <v>2</v>
      </c>
      <c r="C38" s="49">
        <v>3</v>
      </c>
      <c r="D38" s="49">
        <v>4</v>
      </c>
      <c r="E38" s="49">
        <v>5</v>
      </c>
      <c r="F38" s="49">
        <v>6</v>
      </c>
      <c r="G38" s="49">
        <v>7</v>
      </c>
      <c r="H38" s="49">
        <v>8</v>
      </c>
      <c r="I38" s="49">
        <v>9</v>
      </c>
      <c r="J38" s="49">
        <v>10</v>
      </c>
      <c r="K38" s="49">
        <v>11</v>
      </c>
      <c r="L38" s="51">
        <v>12</v>
      </c>
    </row>
    <row r="39" spans="1:26" ht="36">
      <c r="A39" s="52">
        <v>1</v>
      </c>
      <c r="B39" s="52" t="str">
        <f>Source!E24</f>
        <v>2</v>
      </c>
      <c r="C39" s="27" t="str">
        <f>Source!F24</f>
        <v>4.7-1-2</v>
      </c>
      <c r="D39" s="12" t="str">
        <f>Source!G24</f>
        <v>ДЕМОНТАЖ КОМПРЕССОРОВ ПРОИЗВОДИТЕЛЬНОСТЬЮ 18КВТ со слитием фреона</v>
      </c>
      <c r="E39" s="28" t="str">
        <f>Source!H24</f>
        <v>шт.</v>
      </c>
      <c r="F39" s="6">
        <f>ROUND(Source!I24,6)</f>
        <v>2</v>
      </c>
      <c r="G39" s="6"/>
      <c r="H39" s="6"/>
      <c r="I39" s="6"/>
      <c r="J39" s="6"/>
      <c r="K39" s="6"/>
      <c r="L39" s="6"/>
      <c r="Z39">
        <v>1</v>
      </c>
    </row>
    <row r="40" spans="1:12" ht="12.75">
      <c r="A40" s="6"/>
      <c r="B40" s="6"/>
      <c r="C40" s="6"/>
      <c r="D40" s="6" t="s">
        <v>105</v>
      </c>
      <c r="E40" s="6"/>
      <c r="F40" s="6"/>
      <c r="G40" s="14">
        <f>Source!AO24</f>
        <v>1388.2</v>
      </c>
      <c r="H40" s="29" t="str">
        <f>Source!DG24</f>
        <v>)*0,8</v>
      </c>
      <c r="I40" s="6">
        <f>Source!AV24</f>
        <v>1</v>
      </c>
      <c r="J40" s="14">
        <f>ROUND((Source!CT24/IF(Source!BA24&lt;&gt;0,Source!BA24,1)*Source!I24),2)</f>
        <v>2221.12</v>
      </c>
      <c r="K40" s="6">
        <f>Source!BA24</f>
        <v>13.81</v>
      </c>
      <c r="L40" s="14">
        <f>Source!S24</f>
        <v>30673.67</v>
      </c>
    </row>
    <row r="41" spans="1:12" ht="12.75">
      <c r="A41" s="6"/>
      <c r="B41" s="6"/>
      <c r="C41" s="6"/>
      <c r="D41" s="6" t="s">
        <v>106</v>
      </c>
      <c r="E41" s="6"/>
      <c r="F41" s="6"/>
      <c r="G41" s="14">
        <f>Source!AM24</f>
        <v>511.14</v>
      </c>
      <c r="H41" s="29" t="str">
        <f>Source!DE24</f>
        <v>)*0,8</v>
      </c>
      <c r="I41" s="6">
        <f>Source!AV24</f>
        <v>1</v>
      </c>
      <c r="J41" s="14">
        <f>ROUND((Source!CR24/IF(Source!BB24&lt;&gt;0,Source!BB24,1)*Source!I24),2)</f>
        <v>817.82</v>
      </c>
      <c r="K41" s="6">
        <f>Source!BB24</f>
        <v>6.11</v>
      </c>
      <c r="L41" s="14">
        <f>Source!Q24</f>
        <v>4996.9</v>
      </c>
    </row>
    <row r="42" spans="1:13" ht="12.75">
      <c r="A42" s="6"/>
      <c r="B42" s="6"/>
      <c r="C42" s="6"/>
      <c r="D42" s="6" t="s">
        <v>107</v>
      </c>
      <c r="E42" s="6"/>
      <c r="F42" s="6"/>
      <c r="G42" s="14">
        <f>Source!AN24</f>
        <v>89.57</v>
      </c>
      <c r="H42" s="29" t="str">
        <f>Source!DF24</f>
        <v>)*0,8</v>
      </c>
      <c r="I42" s="6">
        <f>Source!AV24</f>
        <v>1</v>
      </c>
      <c r="J42" s="30" t="str">
        <f>CONCATENATE("(",TEXT(+ROUND((Source!CS24/IF(K42&lt;&gt;0,K42,1)*Source!I24),2),"0,00"),")")</f>
        <v>(143,31)</v>
      </c>
      <c r="K42" s="6">
        <f>Source!BS24</f>
        <v>13.81</v>
      </c>
      <c r="L42" s="30" t="str">
        <f>CONCATENATE("(",TEXT(+Source!R24,"0,00"),")")</f>
        <v>(1979,14)</v>
      </c>
      <c r="M42">
        <f>ROUND(IF(K42&lt;&gt;0,Source!R24/K42,Source!R24),2)</f>
        <v>143.31</v>
      </c>
    </row>
    <row r="43" spans="1:12" ht="12.75">
      <c r="A43" s="6"/>
      <c r="B43" s="6"/>
      <c r="C43" s="6"/>
      <c r="D43" s="6" t="s">
        <v>108</v>
      </c>
      <c r="E43" s="6" t="s">
        <v>109</v>
      </c>
      <c r="F43" s="6">
        <f>Source!DN24</f>
        <v>79</v>
      </c>
      <c r="G43" s="6"/>
      <c r="H43" s="6"/>
      <c r="I43" s="6"/>
      <c r="J43" s="14">
        <f>ROUND((F43/100)*ROUND((Source!CT24/IF(Source!BA24&lt;&gt;0,Source!BA24,1)*Source!I24),2),2)</f>
        <v>1754.68</v>
      </c>
      <c r="K43" s="6">
        <f>Source!AT24</f>
        <v>87</v>
      </c>
      <c r="L43" s="14">
        <f>Source!X24</f>
        <v>26686.09</v>
      </c>
    </row>
    <row r="44" spans="1:12" ht="12.75">
      <c r="A44" s="6"/>
      <c r="B44" s="6"/>
      <c r="C44" s="6"/>
      <c r="D44" s="6" t="s">
        <v>110</v>
      </c>
      <c r="E44" s="6" t="s">
        <v>109</v>
      </c>
      <c r="F44" s="6">
        <f>Source!DO24</f>
        <v>70</v>
      </c>
      <c r="G44" s="6"/>
      <c r="H44" s="6"/>
      <c r="I44" s="6"/>
      <c r="J44" s="14">
        <f>ROUND((F44/100)*ROUND((Source!CT24/IF(Source!BA24&lt;&gt;0,Source!BA24,1)*Source!I24),2),2)</f>
        <v>1554.78</v>
      </c>
      <c r="K44" s="6">
        <f>Source!AU24</f>
        <v>56</v>
      </c>
      <c r="L44" s="14">
        <f>Source!Y24</f>
        <v>17177.26</v>
      </c>
    </row>
    <row r="45" spans="1:12" ht="12.75">
      <c r="A45" s="6"/>
      <c r="B45" s="6"/>
      <c r="C45" s="6"/>
      <c r="D45" s="6" t="s">
        <v>111</v>
      </c>
      <c r="E45" s="6" t="s">
        <v>109</v>
      </c>
      <c r="F45" s="6">
        <v>175</v>
      </c>
      <c r="G45" s="6"/>
      <c r="H45" s="6"/>
      <c r="I45" s="6"/>
      <c r="J45" s="14">
        <f>ROUND(ROUND((Source!CS24/IF(Source!BS24&lt;&gt;0,Source!BS24,1)*Source!I24),2)*1.75,2)</f>
        <v>250.79</v>
      </c>
      <c r="K45" s="6">
        <v>167</v>
      </c>
      <c r="L45" s="14">
        <f>ROUND(Source!R24*K45/100,2)</f>
        <v>3305.16</v>
      </c>
    </row>
    <row r="46" spans="1:12" ht="12.75">
      <c r="A46" s="31"/>
      <c r="B46" s="31"/>
      <c r="C46" s="31"/>
      <c r="D46" s="31" t="s">
        <v>112</v>
      </c>
      <c r="E46" s="31" t="s">
        <v>113</v>
      </c>
      <c r="F46" s="31">
        <f>Source!AQ24</f>
        <v>110</v>
      </c>
      <c r="G46" s="31"/>
      <c r="H46" s="32" t="str">
        <f>Source!DI24</f>
        <v>)*0,8</v>
      </c>
      <c r="I46" s="31">
        <f>Source!AV24</f>
        <v>1</v>
      </c>
      <c r="J46" s="33">
        <f>ROUND(Source!U24,2)</f>
        <v>176</v>
      </c>
      <c r="K46" s="31"/>
      <c r="L46" s="31"/>
    </row>
    <row r="47" spans="10:25" ht="12.75">
      <c r="J47" s="34">
        <f>ROUND((Source!CT24/IF(Source!BA24&lt;&gt;0,Source!BA24,1)*Source!I24),2)+ROUND((Source!CR24/IF(Source!BB24&lt;&gt;0,Source!BB24,1)*Source!I24),2)+ROUND((Source!CQ24/IF(Source!BC24&lt;&gt;0,Source!BC24,1)*Source!I24),2)+SUM(J43:J45)</f>
        <v>6599.1900000000005</v>
      </c>
      <c r="K47" s="7"/>
      <c r="L47" s="34">
        <f>Source!O24+SUM(L43:L45)</f>
        <v>82839.07999999999</v>
      </c>
      <c r="M47">
        <f>ROUND((Source!CT24/IF(Source!BA24&lt;&gt;0,Source!BA24,1)*Source!I24),2)</f>
        <v>2221.12</v>
      </c>
      <c r="N47" s="15">
        <f>J47</f>
        <v>6599.1900000000005</v>
      </c>
      <c r="O47" s="15">
        <f>L47</f>
        <v>82839.07999999999</v>
      </c>
      <c r="P47">
        <f>ROUND(IF(Source!BI24=1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Q47">
        <f>ROUND(IF(Source!BI24=2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6599.2</v>
      </c>
      <c r="R47">
        <f>ROUND(IF(Source!BI24=3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S47">
        <f>ROUND(IF(Source!BI24=4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V47">
        <f>IF(Source!BI24=1,Source!O24+Source!X24+Source!Y24+Source!R24*167/100,0)</f>
        <v>0</v>
      </c>
      <c r="W47">
        <f>IF(Source!BI24=2,Source!O24+Source!X24+Source!Y24+Source!R24*167/100,0)</f>
        <v>82839.0838</v>
      </c>
      <c r="X47">
        <f>IF(Source!BI24=3,Source!O24+Source!X24+Source!Y24+Source!R24*167/100,0)</f>
        <v>0</v>
      </c>
      <c r="Y47">
        <f>IF(Source!BI24=4,Source!O24+Source!X24+Source!Y24+Source!R24*167/100,0)</f>
        <v>0</v>
      </c>
    </row>
    <row r="48" spans="1:26" ht="36">
      <c r="A48" s="52">
        <v>2</v>
      </c>
      <c r="B48" s="52" t="str">
        <f>Source!E25</f>
        <v>3</v>
      </c>
      <c r="C48" s="27" t="str">
        <f>Source!F25</f>
        <v>4.7-1-2</v>
      </c>
      <c r="D48" s="12" t="str">
        <f>Source!G25</f>
        <v>УСТАНОВКА КОМПРЕССОРОВ ПРОИЗВОДИТЕЛЬНОСТЬЮ 28КВТ с заправкой фреона</v>
      </c>
      <c r="E48" s="28" t="str">
        <f>Source!H25</f>
        <v>шт.</v>
      </c>
      <c r="F48" s="6">
        <f>ROUND(Source!I25,6)</f>
        <v>2</v>
      </c>
      <c r="G48" s="6"/>
      <c r="H48" s="6"/>
      <c r="I48" s="6"/>
      <c r="J48" s="6"/>
      <c r="K48" s="6"/>
      <c r="L48" s="6"/>
      <c r="Z48">
        <v>2</v>
      </c>
    </row>
    <row r="49" spans="1:12" ht="12.75">
      <c r="A49" s="6"/>
      <c r="B49" s="6"/>
      <c r="C49" s="6"/>
      <c r="D49" s="6" t="s">
        <v>105</v>
      </c>
      <c r="E49" s="6"/>
      <c r="F49" s="6"/>
      <c r="G49" s="14">
        <f>Source!AO25</f>
        <v>1388.2</v>
      </c>
      <c r="H49" s="29">
        <f>Source!DG25</f>
      </c>
      <c r="I49" s="6">
        <f>Source!AV25</f>
        <v>1</v>
      </c>
      <c r="J49" s="14">
        <f>ROUND((Source!CT25/IF(Source!BA25&lt;&gt;0,Source!BA25,1)*Source!I25),2)</f>
        <v>2776.4</v>
      </c>
      <c r="K49" s="6">
        <f>Source!BA25</f>
        <v>13.81</v>
      </c>
      <c r="L49" s="14">
        <f>Source!S25</f>
        <v>38342.08</v>
      </c>
    </row>
    <row r="50" spans="1:12" ht="12.75">
      <c r="A50" s="6"/>
      <c r="B50" s="6"/>
      <c r="C50" s="6"/>
      <c r="D50" s="6" t="s">
        <v>106</v>
      </c>
      <c r="E50" s="6"/>
      <c r="F50" s="6"/>
      <c r="G50" s="14">
        <f>Source!AM25</f>
        <v>511.14</v>
      </c>
      <c r="H50" s="29">
        <f>Source!DE25</f>
      </c>
      <c r="I50" s="6">
        <f>Source!AV25</f>
        <v>1</v>
      </c>
      <c r="J50" s="14">
        <f>ROUND((Source!CR25/IF(Source!BB25&lt;&gt;0,Source!BB25,1)*Source!I25),2)</f>
        <v>1022.28</v>
      </c>
      <c r="K50" s="6">
        <f>Source!BB25</f>
        <v>6.11</v>
      </c>
      <c r="L50" s="14">
        <f>Source!Q25</f>
        <v>6246.13</v>
      </c>
    </row>
    <row r="51" spans="1:13" ht="12.75">
      <c r="A51" s="6"/>
      <c r="B51" s="6"/>
      <c r="C51" s="6"/>
      <c r="D51" s="6" t="s">
        <v>107</v>
      </c>
      <c r="E51" s="6"/>
      <c r="F51" s="6"/>
      <c r="G51" s="14">
        <f>Source!AN25</f>
        <v>89.57</v>
      </c>
      <c r="H51" s="29">
        <f>Source!DF25</f>
      </c>
      <c r="I51" s="6">
        <f>Source!AV25</f>
        <v>1</v>
      </c>
      <c r="J51" s="30" t="str">
        <f>CONCATENATE("(",TEXT(+ROUND((Source!CS25/IF(K51&lt;&gt;0,K51,1)*Source!I25),2),"0,00"),")")</f>
        <v>(179,14)</v>
      </c>
      <c r="K51" s="6">
        <f>Source!BS25</f>
        <v>13.81</v>
      </c>
      <c r="L51" s="30" t="str">
        <f>CONCATENATE("(",TEXT(+Source!R25,"0,00"),")")</f>
        <v>(2473,92)</v>
      </c>
      <c r="M51">
        <f>ROUND(IF(K51&lt;&gt;0,Source!R25/K51,Source!R25),2)</f>
        <v>179.14</v>
      </c>
    </row>
    <row r="52" spans="1:12" ht="12.75">
      <c r="A52" s="6"/>
      <c r="B52" s="6"/>
      <c r="C52" s="6"/>
      <c r="D52" s="6" t="s">
        <v>114</v>
      </c>
      <c r="E52" s="6"/>
      <c r="F52" s="6"/>
      <c r="G52" s="14">
        <f>Source!AL25</f>
        <v>238.0913</v>
      </c>
      <c r="H52" s="6">
        <f>Source!DD25</f>
      </c>
      <c r="I52" s="6">
        <f>Source!AW25</f>
        <v>1</v>
      </c>
      <c r="J52" s="14">
        <f>ROUND((Source!CQ25/IF(Source!BC25&lt;&gt;0,Source!BC25,1)*Source!I25),2)</f>
        <v>476.18</v>
      </c>
      <c r="K52" s="6">
        <f>Source!BC25</f>
        <v>4.56</v>
      </c>
      <c r="L52" s="14">
        <f>Source!P25</f>
        <v>2171.39</v>
      </c>
    </row>
    <row r="53" spans="1:12" ht="12.75">
      <c r="A53" s="6"/>
      <c r="B53" s="6"/>
      <c r="C53" s="6"/>
      <c r="D53" s="6" t="s">
        <v>108</v>
      </c>
      <c r="E53" s="6" t="s">
        <v>109</v>
      </c>
      <c r="F53" s="6">
        <f>Source!DN25</f>
        <v>79</v>
      </c>
      <c r="G53" s="6"/>
      <c r="H53" s="6"/>
      <c r="I53" s="6"/>
      <c r="J53" s="14">
        <f>ROUND((F53/100)*ROUND((Source!CT25/IF(Source!BA25&lt;&gt;0,Source!BA25,1)*Source!I25),2),2)</f>
        <v>2193.36</v>
      </c>
      <c r="K53" s="6">
        <f>Source!AT25</f>
        <v>87</v>
      </c>
      <c r="L53" s="14">
        <f>Source!X25</f>
        <v>33357.61</v>
      </c>
    </row>
    <row r="54" spans="1:12" ht="12.75">
      <c r="A54" s="6"/>
      <c r="B54" s="6"/>
      <c r="C54" s="6"/>
      <c r="D54" s="6" t="s">
        <v>110</v>
      </c>
      <c r="E54" s="6" t="s">
        <v>109</v>
      </c>
      <c r="F54" s="6">
        <f>Source!DO25</f>
        <v>70</v>
      </c>
      <c r="G54" s="6"/>
      <c r="H54" s="6"/>
      <c r="I54" s="6"/>
      <c r="J54" s="14">
        <f>ROUND((F54/100)*ROUND((Source!CT25/IF(Source!BA25&lt;&gt;0,Source!BA25,1)*Source!I25),2),2)</f>
        <v>1943.48</v>
      </c>
      <c r="K54" s="6">
        <f>Source!AU25</f>
        <v>56</v>
      </c>
      <c r="L54" s="14">
        <f>Source!Y25</f>
        <v>21471.56</v>
      </c>
    </row>
    <row r="55" spans="1:12" ht="12.75">
      <c r="A55" s="6"/>
      <c r="B55" s="6"/>
      <c r="C55" s="6"/>
      <c r="D55" s="6" t="s">
        <v>111</v>
      </c>
      <c r="E55" s="6" t="s">
        <v>109</v>
      </c>
      <c r="F55" s="6">
        <v>175</v>
      </c>
      <c r="G55" s="6"/>
      <c r="H55" s="6"/>
      <c r="I55" s="6"/>
      <c r="J55" s="14">
        <f>ROUND(ROUND((Source!CS25/IF(Source!BS25&lt;&gt;0,Source!BS25,1)*Source!I25),2)*1.75,2)</f>
        <v>313.5</v>
      </c>
      <c r="K55" s="6">
        <v>167</v>
      </c>
      <c r="L55" s="14">
        <f>ROUND(Source!R25*K55/100,2)</f>
        <v>4131.45</v>
      </c>
    </row>
    <row r="56" spans="1:12" ht="12.75">
      <c r="A56" s="31"/>
      <c r="B56" s="31"/>
      <c r="C56" s="31"/>
      <c r="D56" s="31" t="s">
        <v>112</v>
      </c>
      <c r="E56" s="31" t="s">
        <v>113</v>
      </c>
      <c r="F56" s="31">
        <f>Source!AQ25</f>
        <v>110</v>
      </c>
      <c r="G56" s="31"/>
      <c r="H56" s="32">
        <f>Source!DI25</f>
      </c>
      <c r="I56" s="31">
        <f>Source!AV25</f>
        <v>1</v>
      </c>
      <c r="J56" s="33">
        <f>ROUND(Source!U25,2)</f>
        <v>220</v>
      </c>
      <c r="K56" s="31"/>
      <c r="L56" s="31"/>
    </row>
    <row r="57" spans="10:25" ht="12.75">
      <c r="J57" s="34">
        <f>ROUND((Source!CT25/IF(Source!BA25&lt;&gt;0,Source!BA25,1)*Source!I25),2)+ROUND((Source!CR25/IF(Source!BB25&lt;&gt;0,Source!BB25,1)*Source!I25),2)+ROUND((Source!CQ25/IF(Source!BC25&lt;&gt;0,Source!BC25,1)*Source!I25),2)+SUM(J53:J55)</f>
        <v>8725.2</v>
      </c>
      <c r="K57" s="7"/>
      <c r="L57" s="34">
        <f>Source!O25+SUM(L53:L55)</f>
        <v>105720.22</v>
      </c>
      <c r="M57">
        <f>ROUND((Source!CT25/IF(Source!BA25&lt;&gt;0,Source!BA25,1)*Source!I25),2)</f>
        <v>2776.4</v>
      </c>
      <c r="N57" s="15">
        <f>J57</f>
        <v>8725.2</v>
      </c>
      <c r="O57" s="15">
        <f>L57</f>
        <v>105720.22</v>
      </c>
      <c r="P57">
        <f>ROUND(IF(Source!BI25=1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Q57">
        <f>ROUND(IF(Source!BI25=2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8725.19</v>
      </c>
      <c r="R57">
        <f>ROUND(IF(Source!BI25=3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S57">
        <f>ROUND(IF(Source!BI25=4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V57">
        <f>IF(Source!BI25=1,Source!O25+Source!X25+Source!Y25+Source!R25*167/100,0)</f>
        <v>0</v>
      </c>
      <c r="W57">
        <f>IF(Source!BI25=2,Source!O25+Source!X25+Source!Y25+Source!R25*167/100,0)</f>
        <v>105720.21639999999</v>
      </c>
      <c r="X57">
        <f>IF(Source!BI25=3,Source!O25+Source!X25+Source!Y25+Source!R25*167/100,0)</f>
        <v>0</v>
      </c>
      <c r="Y57">
        <f>IF(Source!BI25=4,Source!O25+Source!X25+Source!Y25+Source!R25*167/100,0)</f>
        <v>0</v>
      </c>
    </row>
    <row r="59" spans="4:13" s="7" customFormat="1" ht="12.75">
      <c r="D59" s="7" t="s">
        <v>115</v>
      </c>
      <c r="I59" s="85">
        <f>SUM(N39:N58)</f>
        <v>15324.390000000001</v>
      </c>
      <c r="J59" s="85"/>
      <c r="K59" s="85">
        <f>SUM(O39:O58)</f>
        <v>188559.3</v>
      </c>
      <c r="L59" s="85"/>
      <c r="M59" s="34">
        <f>SUM(M39:M58)</f>
        <v>5319.969999999999</v>
      </c>
    </row>
    <row r="61" spans="4:12" ht="12.75">
      <c r="D61" s="35" t="s">
        <v>116</v>
      </c>
      <c r="E61" s="86" t="str">
        <f>Source!G43</f>
        <v>345 Смета</v>
      </c>
      <c r="F61" s="86"/>
      <c r="G61" s="86"/>
      <c r="H61" s="86"/>
      <c r="I61" s="86"/>
      <c r="J61" s="86"/>
      <c r="K61" s="86"/>
      <c r="L61" s="86"/>
    </row>
    <row r="62" spans="4:12" ht="12.75">
      <c r="D62" s="80" t="str">
        <f>Source!H58</f>
        <v>Всего по смете</v>
      </c>
      <c r="E62" s="80"/>
      <c r="F62" s="80"/>
      <c r="G62" s="80"/>
      <c r="H62" s="80"/>
      <c r="I62" s="80"/>
      <c r="J62" s="80"/>
      <c r="K62" s="72">
        <f>Source!F58</f>
        <v>188559.3</v>
      </c>
      <c r="L62" s="73"/>
    </row>
    <row r="63" spans="4:12" ht="12.75">
      <c r="D63" s="80" t="str">
        <f>Source!H59</f>
        <v>НДС 18%</v>
      </c>
      <c r="E63" s="80"/>
      <c r="F63" s="80"/>
      <c r="G63" s="80"/>
      <c r="H63" s="80"/>
      <c r="I63" s="80"/>
      <c r="J63" s="80"/>
      <c r="K63" s="72">
        <f>Source!F59</f>
        <v>33940.67</v>
      </c>
      <c r="L63" s="73"/>
    </row>
    <row r="64" spans="4:12" ht="12.75">
      <c r="D64" s="80" t="str">
        <f>Source!H60</f>
        <v>Итого с НДС</v>
      </c>
      <c r="E64" s="80"/>
      <c r="F64" s="80"/>
      <c r="G64" s="80"/>
      <c r="H64" s="80"/>
      <c r="I64" s="80"/>
      <c r="J64" s="80"/>
      <c r="K64" s="72">
        <f>Source!F60</f>
        <v>222499.97</v>
      </c>
      <c r="L64" s="73"/>
    </row>
    <row r="65" spans="4:12" ht="12.75">
      <c r="D65" t="s">
        <v>117</v>
      </c>
      <c r="I65" s="81">
        <f>I59</f>
        <v>15324.390000000001</v>
      </c>
      <c r="J65" s="81"/>
      <c r="K65" s="81">
        <f>K59</f>
        <v>188559.3</v>
      </c>
      <c r="L65" s="72"/>
    </row>
    <row r="69" spans="1:9" s="6" customFormat="1" ht="12">
      <c r="A69" s="6" t="s">
        <v>149</v>
      </c>
      <c r="D69" s="31" t="str">
        <f>IF(Source!AR12&lt;&gt;"",Source!AR12," ")</f>
        <v> </v>
      </c>
      <c r="E69" s="31"/>
      <c r="F69" s="31"/>
      <c r="G69" s="31"/>
      <c r="H69" s="31"/>
      <c r="I69" s="6" t="str">
        <f>IF(Source!L12&lt;&gt;"",Source!L12," ")</f>
        <v> </v>
      </c>
    </row>
    <row r="70" spans="4:8" s="37" customFormat="1" ht="11.25">
      <c r="D70" s="87" t="s">
        <v>119</v>
      </c>
      <c r="E70" s="87"/>
      <c r="F70" s="87"/>
      <c r="G70" s="87"/>
      <c r="H70" s="87"/>
    </row>
    <row r="72" spans="1:9" s="6" customFormat="1" ht="12">
      <c r="A72" s="6" t="s">
        <v>150</v>
      </c>
      <c r="D72" s="31" t="str">
        <f>IF(Source!AS12&lt;&gt;"",Source!AS12," ")</f>
        <v> </v>
      </c>
      <c r="E72" s="31"/>
      <c r="F72" s="31"/>
      <c r="G72" s="31"/>
      <c r="H72" s="31"/>
      <c r="I72" s="6" t="str">
        <f>IF(Source!M12&lt;&gt;"",Source!M12," ")</f>
        <v> </v>
      </c>
    </row>
    <row r="73" spans="4:8" s="37" customFormat="1" ht="11.25">
      <c r="D73" s="87" t="s">
        <v>119</v>
      </c>
      <c r="E73" s="87"/>
      <c r="F73" s="87"/>
      <c r="G73" s="87"/>
      <c r="H73" s="87"/>
    </row>
  </sheetData>
  <sheetProtection/>
  <mergeCells count="49">
    <mergeCell ref="D70:H70"/>
    <mergeCell ref="D73:H73"/>
    <mergeCell ref="A33:B33"/>
    <mergeCell ref="A34:A37"/>
    <mergeCell ref="B34:B37"/>
    <mergeCell ref="D63:J63"/>
    <mergeCell ref="D62:J62"/>
    <mergeCell ref="K63:L63"/>
    <mergeCell ref="D64:J64"/>
    <mergeCell ref="K64:L64"/>
    <mergeCell ref="K65:L65"/>
    <mergeCell ref="I65:J65"/>
    <mergeCell ref="H30:I30"/>
    <mergeCell ref="H33:I33"/>
    <mergeCell ref="K59:L59"/>
    <mergeCell ref="I59:J59"/>
    <mergeCell ref="E61:L61"/>
    <mergeCell ref="K62:L62"/>
    <mergeCell ref="K21:L21"/>
    <mergeCell ref="H23:H24"/>
    <mergeCell ref="I23:I24"/>
    <mergeCell ref="J23:K23"/>
    <mergeCell ref="A27:L27"/>
    <mergeCell ref="A28:L28"/>
    <mergeCell ref="D17:G17"/>
    <mergeCell ref="H18:J18"/>
    <mergeCell ref="K18:L18"/>
    <mergeCell ref="H19:I19"/>
    <mergeCell ref="K19:L19"/>
    <mergeCell ref="K20:L20"/>
    <mergeCell ref="D13:G13"/>
    <mergeCell ref="K13:L14"/>
    <mergeCell ref="D14:G14"/>
    <mergeCell ref="D15:G15"/>
    <mergeCell ref="K15:L16"/>
    <mergeCell ref="D16:G16"/>
    <mergeCell ref="D8:G8"/>
    <mergeCell ref="D9:G9"/>
    <mergeCell ref="K9:L10"/>
    <mergeCell ref="D10:G10"/>
    <mergeCell ref="D11:G11"/>
    <mergeCell ref="K11:L12"/>
    <mergeCell ref="D12:G12"/>
    <mergeCell ref="I1:L1"/>
    <mergeCell ref="I2:L2"/>
    <mergeCell ref="I3:L3"/>
    <mergeCell ref="K5:L5"/>
    <mergeCell ref="K6:L6"/>
    <mergeCell ref="K7:L8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PageLayoutView="0" workbookViewId="0" topLeftCell="A25">
      <selection activeCell="E51" sqref="E51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26" width="0" style="0" hidden="1" customWidth="1"/>
    <col min="27" max="27" width="119.57421875" style="0" hidden="1" customWidth="1"/>
    <col min="28" max="28" width="0" style="0" hidden="1" customWidth="1"/>
  </cols>
  <sheetData>
    <row r="1" s="4" customFormat="1" ht="11.25">
      <c r="A1" s="4" t="str">
        <f>CONCATENATE(Source!B1,"     ТСН-2001 (© ОАО МЦЦС 'Мосстройцены', 2006)")</f>
        <v>Smeta.ru  (495) 974-1589     ТСН-2001 (© ОАО МЦЦС 'Мосстройцены', 2006)</v>
      </c>
    </row>
    <row r="2" s="4" customFormat="1" ht="11.25">
      <c r="K2" s="4" t="s">
        <v>55</v>
      </c>
    </row>
    <row r="3" spans="1:9" s="5" customFormat="1" ht="15">
      <c r="A3" s="5" t="s">
        <v>56</v>
      </c>
      <c r="F3" s="100" t="s">
        <v>57</v>
      </c>
      <c r="G3" s="100"/>
      <c r="H3" s="100"/>
      <c r="I3" s="100"/>
    </row>
    <row r="4" spans="1:29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12.75">
      <c r="A5" s="80" t="s">
        <v>157</v>
      </c>
      <c r="B5" s="101"/>
      <c r="C5" s="101"/>
      <c r="D5" s="101"/>
      <c r="E5" s="54"/>
      <c r="F5" s="80" t="s">
        <v>156</v>
      </c>
      <c r="G5" s="80"/>
      <c r="H5" s="80"/>
      <c r="I5" s="101"/>
      <c r="J5" s="101"/>
      <c r="K5" s="10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2.75">
      <c r="A7" s="102" t="s">
        <v>158</v>
      </c>
      <c r="B7" s="103"/>
      <c r="C7" s="103"/>
      <c r="D7" s="103"/>
      <c r="E7" s="54"/>
      <c r="F7" s="80" t="s">
        <v>153</v>
      </c>
      <c r="G7" s="101"/>
      <c r="H7" s="101"/>
      <c r="I7" s="101"/>
      <c r="J7" s="101"/>
      <c r="K7" s="101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="5" customFormat="1" ht="15"/>
    <row r="12" spans="1:27" ht="12.75">
      <c r="A12" s="104" t="s">
        <v>160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AA12" s="8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3" spans="1:11" ht="12.75">
      <c r="A13" s="6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5" spans="1:27" ht="15">
      <c r="A15" s="95" t="s">
        <v>154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AA15" s="9" t="str">
        <f>CONCATENATE("ЛОКАЛЬНАЯ СМЕТА №  ",Source!F20)</f>
        <v>ЛОКАЛЬНАЯ СМЕТА №  Новая локальная смета</v>
      </c>
    </row>
    <row r="16" spans="1:11" ht="12.75">
      <c r="A16" s="97" t="s">
        <v>58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ht="8.25" customHeight="1"/>
    <row r="18" spans="1:27" ht="1.5" customHeight="1" hidden="1">
      <c r="A18" s="98"/>
      <c r="B18" s="96"/>
      <c r="C18" s="96"/>
      <c r="D18" s="96"/>
      <c r="E18" s="96"/>
      <c r="F18" s="96"/>
      <c r="G18" s="96"/>
      <c r="H18" s="96"/>
      <c r="I18" s="96"/>
      <c r="J18" s="96"/>
      <c r="K18" s="96"/>
      <c r="AA18" s="10" t="str">
        <f>Source!G20</f>
        <v>Новая локальная смета</v>
      </c>
    </row>
    <row r="20" spans="1:27" ht="54.75" customHeight="1">
      <c r="A20" s="99" t="s">
        <v>155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AA20" s="11" t="str">
        <f>IF(Source!G12&lt;&gt;"",Source!G12,Source!F12)</f>
        <v>345 Смета</v>
      </c>
    </row>
    <row r="21" spans="2:11" ht="12.75">
      <c r="B21" s="97" t="s">
        <v>59</v>
      </c>
      <c r="C21" s="96"/>
      <c r="D21" s="96"/>
      <c r="E21" s="96"/>
      <c r="F21" s="96"/>
      <c r="G21" s="96"/>
      <c r="H21" s="96"/>
      <c r="I21" s="96"/>
      <c r="J21" s="96"/>
      <c r="K21" s="96"/>
    </row>
    <row r="23" spans="1:27" ht="12.75">
      <c r="A23" s="80" t="str">
        <f>CONCATENATE("Основание: чертежи № ",Source!J20)</f>
        <v>Основание: чертежи № 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AA23" s="12" t="str">
        <f>CONCATENATE("Основание: чертежи № ",Source!J20)</f>
        <v>Основание: чертежи № </v>
      </c>
    </row>
    <row r="25" spans="9:10" ht="12.75">
      <c r="I25" s="13" t="s">
        <v>60</v>
      </c>
      <c r="J25" s="13" t="s">
        <v>61</v>
      </c>
    </row>
    <row r="26" spans="9:10" ht="12.75">
      <c r="I26" s="13" t="s">
        <v>62</v>
      </c>
      <c r="J26" s="13" t="s">
        <v>62</v>
      </c>
    </row>
    <row r="27" spans="7:11" ht="12.75">
      <c r="G27" s="4" t="s">
        <v>63</v>
      </c>
      <c r="H27" s="4"/>
      <c r="I27" s="14">
        <f>H66/1000</f>
        <v>15.324390000000001</v>
      </c>
      <c r="J27" s="14">
        <f>(J65)/1000</f>
        <v>222.5</v>
      </c>
      <c r="K27" s="6" t="s">
        <v>64</v>
      </c>
    </row>
    <row r="28" spans="7:11" ht="12.75" hidden="1">
      <c r="G28" s="4" t="s">
        <v>65</v>
      </c>
      <c r="H28" s="4"/>
      <c r="I28" s="14">
        <f>SUM(O40:O67)/1000</f>
        <v>0</v>
      </c>
      <c r="J28" s="14">
        <f>SUM(U40:U67)/1000</f>
        <v>0</v>
      </c>
      <c r="K28" s="6" t="s">
        <v>64</v>
      </c>
    </row>
    <row r="29" spans="7:11" ht="12.75" hidden="1">
      <c r="G29" s="4" t="s">
        <v>66</v>
      </c>
      <c r="I29" s="14">
        <f>SUM(P40:P67)/1000</f>
        <v>15.32439</v>
      </c>
      <c r="J29" s="14">
        <f>SUM(V40:V67)/1000</f>
        <v>188.5593002</v>
      </c>
      <c r="K29" s="6" t="s">
        <v>64</v>
      </c>
    </row>
    <row r="30" spans="7:11" ht="12.75" hidden="1">
      <c r="G30" s="4" t="s">
        <v>67</v>
      </c>
      <c r="I30" s="14">
        <f>SUM(Q40:Q67)/1000</f>
        <v>0</v>
      </c>
      <c r="J30" s="14">
        <f>SUM(W40:W67)/1000</f>
        <v>0</v>
      </c>
      <c r="K30" s="6" t="s">
        <v>64</v>
      </c>
    </row>
    <row r="31" spans="7:11" ht="12.75" hidden="1">
      <c r="G31" s="4" t="s">
        <v>68</v>
      </c>
      <c r="I31" s="14">
        <f>SUM(R40:R67)/1000</f>
        <v>0</v>
      </c>
      <c r="J31" s="14">
        <f>SUM(X40:X67)/1000</f>
        <v>0</v>
      </c>
      <c r="K31" s="6" t="s">
        <v>64</v>
      </c>
    </row>
    <row r="32" spans="7:11" ht="12.75">
      <c r="G32" s="4" t="s">
        <v>69</v>
      </c>
      <c r="I32" s="14">
        <f>L66/1000</f>
        <v>5.31997</v>
      </c>
      <c r="J32" s="14">
        <f>((Source!F35+Source!F34)/1000)</f>
        <v>73.46880999999999</v>
      </c>
      <c r="K32" s="6" t="s">
        <v>64</v>
      </c>
    </row>
    <row r="33" spans="1:6" ht="12.75">
      <c r="A33" s="4" t="s">
        <v>70</v>
      </c>
      <c r="B33" s="4"/>
      <c r="C33" s="4"/>
      <c r="D33" s="16"/>
      <c r="E33" s="17">
        <f>IF(AND(Source!P12&lt;&gt;0,Source!Q12&lt;&gt;0),Source!P12,IF(Source!AF12=0,"",Source!AF12))</f>
        <v>2013</v>
      </c>
      <c r="F33" s="4" t="s">
        <v>71</v>
      </c>
    </row>
    <row r="34" spans="1:25" ht="12.75">
      <c r="A34" s="22"/>
      <c r="B34" s="22"/>
      <c r="C34" s="22"/>
      <c r="D34" s="22"/>
      <c r="E34" s="22"/>
      <c r="F34" s="21" t="s">
        <v>84</v>
      </c>
      <c r="G34" s="83" t="s">
        <v>88</v>
      </c>
      <c r="H34" s="84"/>
      <c r="I34" s="21" t="s">
        <v>94</v>
      </c>
      <c r="J34" s="21" t="s">
        <v>97</v>
      </c>
      <c r="K34" s="20" t="s">
        <v>94</v>
      </c>
      <c r="Y34">
        <v>-1</v>
      </c>
    </row>
    <row r="35" spans="1:11" ht="12.75">
      <c r="A35" s="19" t="s">
        <v>72</v>
      </c>
      <c r="B35" s="19" t="s">
        <v>74</v>
      </c>
      <c r="C35" s="23"/>
      <c r="D35" s="19" t="s">
        <v>79</v>
      </c>
      <c r="E35" s="19" t="s">
        <v>82</v>
      </c>
      <c r="F35" s="19" t="s">
        <v>85</v>
      </c>
      <c r="G35" s="21"/>
      <c r="H35" s="21" t="s">
        <v>91</v>
      </c>
      <c r="I35" s="19" t="s">
        <v>95</v>
      </c>
      <c r="J35" s="19" t="s">
        <v>98</v>
      </c>
      <c r="K35" s="18" t="s">
        <v>102</v>
      </c>
    </row>
    <row r="36" spans="1:11" ht="12.75">
      <c r="A36" s="19" t="s">
        <v>73</v>
      </c>
      <c r="B36" s="19" t="s">
        <v>75</v>
      </c>
      <c r="C36" s="19" t="s">
        <v>78</v>
      </c>
      <c r="D36" s="19" t="s">
        <v>80</v>
      </c>
      <c r="E36" s="19" t="s">
        <v>83</v>
      </c>
      <c r="F36" s="19" t="s">
        <v>86</v>
      </c>
      <c r="G36" s="19" t="s">
        <v>89</v>
      </c>
      <c r="H36" s="19" t="s">
        <v>92</v>
      </c>
      <c r="I36" s="19" t="s">
        <v>96</v>
      </c>
      <c r="J36" s="19" t="s">
        <v>99</v>
      </c>
      <c r="K36" s="24" t="s">
        <v>103</v>
      </c>
    </row>
    <row r="37" spans="1:11" ht="12.75">
      <c r="A37" s="23"/>
      <c r="B37" s="19" t="s">
        <v>76</v>
      </c>
      <c r="C37" s="23"/>
      <c r="D37" s="19" t="s">
        <v>81</v>
      </c>
      <c r="E37" s="23"/>
      <c r="F37" s="19" t="s">
        <v>87</v>
      </c>
      <c r="G37" s="19" t="s">
        <v>90</v>
      </c>
      <c r="H37" s="19" t="s">
        <v>93</v>
      </c>
      <c r="I37" s="19" t="s">
        <v>87</v>
      </c>
      <c r="J37" s="19" t="s">
        <v>100</v>
      </c>
      <c r="K37" s="18" t="s">
        <v>104</v>
      </c>
    </row>
    <row r="38" spans="1:11" ht="12.75">
      <c r="A38" s="23"/>
      <c r="B38" s="19" t="s">
        <v>77</v>
      </c>
      <c r="C38" s="23"/>
      <c r="D38" s="23"/>
      <c r="E38" s="23"/>
      <c r="F38" s="23"/>
      <c r="G38" s="19"/>
      <c r="H38" s="19"/>
      <c r="I38" s="19"/>
      <c r="J38" s="19" t="s">
        <v>101</v>
      </c>
      <c r="K38" s="18"/>
    </row>
    <row r="39" spans="1:11" ht="12.75">
      <c r="A39" s="25">
        <v>1</v>
      </c>
      <c r="B39" s="25">
        <v>2</v>
      </c>
      <c r="C39" s="25">
        <v>3</v>
      </c>
      <c r="D39" s="25">
        <v>4</v>
      </c>
      <c r="E39" s="25">
        <v>5</v>
      </c>
      <c r="F39" s="25">
        <v>6</v>
      </c>
      <c r="G39" s="25">
        <v>7</v>
      </c>
      <c r="H39" s="25">
        <v>8</v>
      </c>
      <c r="I39" s="25">
        <v>9</v>
      </c>
      <c r="J39" s="25">
        <v>10</v>
      </c>
      <c r="K39" s="26">
        <v>11</v>
      </c>
    </row>
    <row r="40" spans="1:25" ht="35.25" customHeight="1">
      <c r="A40" s="27" t="str">
        <f>Source!E24</f>
        <v>2</v>
      </c>
      <c r="B40" s="27" t="str">
        <f>Source!F24</f>
        <v>4.7-1-2</v>
      </c>
      <c r="C40" s="12" t="str">
        <f>Source!G24</f>
        <v>ДЕМОНТАЖ КОМПРЕССОРОВ ПРОИЗВОДИТЕЛЬНОСТЬЮ 18КВТ со слитием фреона</v>
      </c>
      <c r="D40" s="28" t="str">
        <f>Source!H24</f>
        <v>шт.</v>
      </c>
      <c r="E40" s="6">
        <f>ROUND(Source!I24,6)</f>
        <v>2</v>
      </c>
      <c r="F40" s="6"/>
      <c r="G40" s="6"/>
      <c r="H40" s="6"/>
      <c r="I40" s="6"/>
      <c r="J40" s="6"/>
      <c r="K40" s="6"/>
      <c r="Y40">
        <v>1</v>
      </c>
    </row>
    <row r="41" spans="1:11" ht="12.75">
      <c r="A41" s="6"/>
      <c r="B41" s="6"/>
      <c r="C41" s="6" t="s">
        <v>105</v>
      </c>
      <c r="D41" s="6"/>
      <c r="E41" s="6"/>
      <c r="F41" s="14">
        <f>Source!AO24</f>
        <v>1388.2</v>
      </c>
      <c r="G41" s="29" t="str">
        <f>Source!DG24</f>
        <v>)*0,8</v>
      </c>
      <c r="H41" s="6">
        <f>Source!AV24</f>
        <v>1</v>
      </c>
      <c r="I41" s="14">
        <f>ROUND((Source!CT24/IF(Source!BA24&lt;&gt;0,Source!BA24,1)*Source!I24),2)</f>
        <v>2221.12</v>
      </c>
      <c r="J41" s="6">
        <f>Source!BA24</f>
        <v>13.81</v>
      </c>
      <c r="K41" s="14">
        <v>30673.68</v>
      </c>
    </row>
    <row r="42" spans="1:11" ht="12.75">
      <c r="A42" s="6"/>
      <c r="B42" s="6"/>
      <c r="C42" s="6" t="s">
        <v>106</v>
      </c>
      <c r="D42" s="6"/>
      <c r="E42" s="6"/>
      <c r="F42" s="14">
        <f>Source!AM24</f>
        <v>511.14</v>
      </c>
      <c r="G42" s="29" t="str">
        <f>Source!DE24</f>
        <v>)*0,8</v>
      </c>
      <c r="H42" s="6">
        <f>Source!AV24</f>
        <v>1</v>
      </c>
      <c r="I42" s="14">
        <f>ROUND((Source!CR24/IF(Source!BB24&lt;&gt;0,Source!BB24,1)*Source!I24),2)</f>
        <v>817.82</v>
      </c>
      <c r="J42" s="6">
        <f>Source!BB24</f>
        <v>6.11</v>
      </c>
      <c r="K42" s="14">
        <f>Source!Q24</f>
        <v>4996.9</v>
      </c>
    </row>
    <row r="43" spans="1:12" ht="12.75">
      <c r="A43" s="6"/>
      <c r="B43" s="6"/>
      <c r="C43" s="6" t="s">
        <v>107</v>
      </c>
      <c r="D43" s="6"/>
      <c r="E43" s="6"/>
      <c r="F43" s="14">
        <f>Source!AN24</f>
        <v>89.57</v>
      </c>
      <c r="G43" s="29" t="str">
        <f>Source!DF24</f>
        <v>)*0,8</v>
      </c>
      <c r="H43" s="6">
        <f>Source!AV24</f>
        <v>1</v>
      </c>
      <c r="I43" s="30" t="str">
        <f>CONCATENATE("(",TEXT(+ROUND((Source!CS24/IF(J43&lt;&gt;0,J43,1)*Source!I24),2),"0,00"),")")</f>
        <v>(143,31)</v>
      </c>
      <c r="J43" s="6">
        <f>Source!BS24</f>
        <v>13.81</v>
      </c>
      <c r="K43" s="30" t="str">
        <f>CONCATENATE("(",TEXT(+Source!R24,"0,00"),")")</f>
        <v>(1979,14)</v>
      </c>
      <c r="L43">
        <f>ROUND(IF(J43&lt;&gt;0,Source!R24/J43,Source!R24),2)</f>
        <v>143.31</v>
      </c>
    </row>
    <row r="44" spans="1:11" ht="12.75">
      <c r="A44" s="6"/>
      <c r="B44" s="6"/>
      <c r="C44" s="6" t="s">
        <v>108</v>
      </c>
      <c r="D44" s="6" t="s">
        <v>109</v>
      </c>
      <c r="E44" s="6">
        <f>Source!DN24</f>
        <v>79</v>
      </c>
      <c r="F44" s="6"/>
      <c r="G44" s="6"/>
      <c r="H44" s="6"/>
      <c r="I44" s="14">
        <f>ROUND((E44/100)*ROUND((Source!CT24/IF(Source!BA24&lt;&gt;0,Source!BA24,1)*Source!I24),2),2)</f>
        <v>1754.68</v>
      </c>
      <c r="J44" s="6">
        <f>Source!AT24</f>
        <v>87</v>
      </c>
      <c r="K44" s="14">
        <f>Source!X24</f>
        <v>26686.09</v>
      </c>
    </row>
    <row r="45" spans="1:11" ht="12.75">
      <c r="A45" s="6"/>
      <c r="B45" s="6"/>
      <c r="C45" s="6" t="s">
        <v>110</v>
      </c>
      <c r="D45" s="6" t="s">
        <v>109</v>
      </c>
      <c r="E45" s="6">
        <f>Source!DO24</f>
        <v>70</v>
      </c>
      <c r="F45" s="6"/>
      <c r="G45" s="6"/>
      <c r="H45" s="6"/>
      <c r="I45" s="14">
        <f>ROUND((E45/100)*ROUND((Source!CT24/IF(Source!BA24&lt;&gt;0,Source!BA24,1)*Source!I24),2),2)</f>
        <v>1554.78</v>
      </c>
      <c r="J45" s="6">
        <f>Source!AU24</f>
        <v>56</v>
      </c>
      <c r="K45" s="14">
        <f>Source!Y24</f>
        <v>17177.26</v>
      </c>
    </row>
    <row r="46" spans="1:11" ht="12.75">
      <c r="A46" s="6"/>
      <c r="B46" s="6"/>
      <c r="C46" s="6" t="s">
        <v>111</v>
      </c>
      <c r="D46" s="6" t="s">
        <v>109</v>
      </c>
      <c r="E46" s="6">
        <v>175</v>
      </c>
      <c r="F46" s="6"/>
      <c r="G46" s="6"/>
      <c r="H46" s="6"/>
      <c r="I46" s="14">
        <f>ROUND(ROUND((Source!CS24/IF(Source!BS24&lt;&gt;0,Source!BS24,1)*Source!I24),2)*1.75,2)</f>
        <v>250.79</v>
      </c>
      <c r="J46" s="6">
        <v>167</v>
      </c>
      <c r="K46" s="14">
        <f>ROUND(Source!R24*J46/100,2)</f>
        <v>3305.16</v>
      </c>
    </row>
    <row r="47" spans="1:11" ht="12.75">
      <c r="A47" s="31"/>
      <c r="B47" s="31"/>
      <c r="C47" s="31" t="s">
        <v>112</v>
      </c>
      <c r="D47" s="31" t="s">
        <v>113</v>
      </c>
      <c r="E47" s="31">
        <f>Source!AQ24</f>
        <v>110</v>
      </c>
      <c r="F47" s="31"/>
      <c r="G47" s="32" t="str">
        <f>Source!DI24</f>
        <v>)*0,8</v>
      </c>
      <c r="H47" s="31">
        <f>Source!AV24</f>
        <v>1</v>
      </c>
      <c r="I47" s="33">
        <f>ROUND(Source!U24,2)</f>
        <v>176</v>
      </c>
      <c r="J47" s="31"/>
      <c r="K47" s="31"/>
    </row>
    <row r="48" spans="9:24" ht="12.75">
      <c r="I48" s="34">
        <f>ROUND((Source!CT24/IF(Source!BA24&lt;&gt;0,Source!BA24,1)*Source!I24),2)+ROUND((Source!CR24/IF(Source!BB24&lt;&gt;0,Source!BB24,1)*Source!I24),2)+ROUND((Source!CQ24/IF(Source!BC24&lt;&gt;0,Source!BC24,1)*Source!I24),2)+SUM(I44:I46)</f>
        <v>6599.1900000000005</v>
      </c>
      <c r="J48" s="7"/>
      <c r="K48" s="34">
        <v>82839.09</v>
      </c>
      <c r="L48">
        <f>ROUND((Source!CT24/IF(Source!BA24&lt;&gt;0,Source!BA24,1)*Source!I24),2)</f>
        <v>2221.12</v>
      </c>
      <c r="M48" s="15">
        <f>I48</f>
        <v>6599.1900000000005</v>
      </c>
      <c r="N48" s="15">
        <f>K48</f>
        <v>82839.09</v>
      </c>
      <c r="O48">
        <f>ROUND(IF(Source!BI24=1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P48">
        <f>ROUND(IF(Source!BI24=2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6599.2</v>
      </c>
      <c r="Q48">
        <f>ROUND(IF(Source!BI24=3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R48">
        <f>ROUND(IF(Source!BI24=4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U48">
        <f>IF(Source!BI24=1,Source!O24+Source!X24+Source!Y24+Source!R24*167/100,0)</f>
        <v>0</v>
      </c>
      <c r="V48">
        <f>IF(Source!BI24=2,Source!O24+Source!X24+Source!Y24+Source!R24*167/100,0)</f>
        <v>82839.0838</v>
      </c>
      <c r="W48">
        <f>IF(Source!BI24=3,Source!O24+Source!X24+Source!Y24+Source!R24*167/100,0)</f>
        <v>0</v>
      </c>
      <c r="X48">
        <f>IF(Source!BI24=4,Source!O24+Source!X24+Source!Y24+Source!R24*167/100,0)</f>
        <v>0</v>
      </c>
    </row>
    <row r="49" spans="1:25" ht="37.5" customHeight="1">
      <c r="A49" s="27" t="str">
        <f>Source!E25</f>
        <v>3</v>
      </c>
      <c r="B49" s="27" t="str">
        <f>Source!F25</f>
        <v>4.7-1-2</v>
      </c>
      <c r="C49" s="12" t="str">
        <f>Source!G25</f>
        <v>УСТАНОВКА КОМПРЕССОРОВ ПРОИЗВОДИТЕЛЬНОСТЬЮ 28КВТ с заправкой фреона</v>
      </c>
      <c r="D49" s="28" t="str">
        <f>Source!H25</f>
        <v>шт.</v>
      </c>
      <c r="E49" s="6">
        <f>ROUND(Source!I25,6)</f>
        <v>2</v>
      </c>
      <c r="F49" s="6"/>
      <c r="G49" s="6"/>
      <c r="H49" s="6"/>
      <c r="I49" s="6"/>
      <c r="J49" s="6"/>
      <c r="K49" s="6"/>
      <c r="Y49">
        <v>2</v>
      </c>
    </row>
    <row r="50" spans="1:11" ht="12.75">
      <c r="A50" s="6"/>
      <c r="B50" s="6"/>
      <c r="C50" s="6" t="s">
        <v>105</v>
      </c>
      <c r="D50" s="6"/>
      <c r="E50" s="6"/>
      <c r="F50" s="14">
        <f>Source!AO25</f>
        <v>1388.2</v>
      </c>
      <c r="G50" s="29">
        <f>Source!DG25</f>
      </c>
      <c r="H50" s="6">
        <f>Source!AV25</f>
        <v>1</v>
      </c>
      <c r="I50" s="14">
        <f>ROUND((Source!CT25/IF(Source!BA25&lt;&gt;0,Source!BA25,1)*Source!I25),2)</f>
        <v>2776.4</v>
      </c>
      <c r="J50" s="6">
        <f>Source!BA25</f>
        <v>13.81</v>
      </c>
      <c r="K50" s="14">
        <f>Source!S25</f>
        <v>38342.08</v>
      </c>
    </row>
    <row r="51" spans="1:11" ht="12.75">
      <c r="A51" s="6"/>
      <c r="B51" s="6"/>
      <c r="C51" s="6" t="s">
        <v>106</v>
      </c>
      <c r="D51" s="6"/>
      <c r="E51" s="6"/>
      <c r="F51" s="14">
        <f>Source!AM25</f>
        <v>511.14</v>
      </c>
      <c r="G51" s="29">
        <f>Source!DE25</f>
      </c>
      <c r="H51" s="6">
        <f>Source!AV25</f>
        <v>1</v>
      </c>
      <c r="I51" s="14">
        <f>ROUND((Source!CR25/IF(Source!BB25&lt;&gt;0,Source!BB25,1)*Source!I25),2)</f>
        <v>1022.28</v>
      </c>
      <c r="J51" s="6">
        <f>Source!BB25</f>
        <v>6.11</v>
      </c>
      <c r="K51" s="14">
        <f>Source!Q25</f>
        <v>6246.13</v>
      </c>
    </row>
    <row r="52" spans="1:12" ht="12.75">
      <c r="A52" s="6"/>
      <c r="B52" s="6"/>
      <c r="C52" s="6" t="s">
        <v>107</v>
      </c>
      <c r="D52" s="6"/>
      <c r="E52" s="6"/>
      <c r="F52" s="14">
        <f>Source!AN25</f>
        <v>89.57</v>
      </c>
      <c r="G52" s="29">
        <f>Source!DF25</f>
      </c>
      <c r="H52" s="6">
        <f>Source!AV25</f>
        <v>1</v>
      </c>
      <c r="I52" s="30" t="str">
        <f>CONCATENATE("(",TEXT(+ROUND((Source!CS25/IF(J52&lt;&gt;0,J52,1)*Source!I25),2),"0,00"),")")</f>
        <v>(179,14)</v>
      </c>
      <c r="J52" s="6">
        <f>Source!BS25</f>
        <v>13.81</v>
      </c>
      <c r="K52" s="30" t="str">
        <f>CONCATENATE("(",TEXT(+Source!R25,"0,00"),")")</f>
        <v>(2473,92)</v>
      </c>
      <c r="L52">
        <f>ROUND(IF(J52&lt;&gt;0,Source!R25/J52,Source!R25),2)</f>
        <v>179.14</v>
      </c>
    </row>
    <row r="53" spans="1:11" ht="12.75">
      <c r="A53" s="6"/>
      <c r="B53" s="6"/>
      <c r="C53" s="6" t="s">
        <v>114</v>
      </c>
      <c r="D53" s="6"/>
      <c r="E53" s="6"/>
      <c r="F53" s="14">
        <f>Source!AL25</f>
        <v>238.0913</v>
      </c>
      <c r="G53" s="6">
        <f>Source!DD25</f>
      </c>
      <c r="H53" s="6">
        <f>Source!AW25</f>
        <v>1</v>
      </c>
      <c r="I53" s="14">
        <f>ROUND((Source!CQ25/IF(Source!BC25&lt;&gt;0,Source!BC25,1)*Source!I25),2)</f>
        <v>476.18</v>
      </c>
      <c r="J53" s="6">
        <f>Source!BC25</f>
        <v>4.56</v>
      </c>
      <c r="K53" s="14">
        <f>Source!P25</f>
        <v>2171.39</v>
      </c>
    </row>
    <row r="54" spans="1:11" ht="12.75">
      <c r="A54" s="6"/>
      <c r="B54" s="6"/>
      <c r="C54" s="6" t="s">
        <v>108</v>
      </c>
      <c r="D54" s="6" t="s">
        <v>109</v>
      </c>
      <c r="E54" s="6">
        <f>Source!DN25</f>
        <v>79</v>
      </c>
      <c r="F54" s="6"/>
      <c r="G54" s="6"/>
      <c r="H54" s="6"/>
      <c r="I54" s="14">
        <f>ROUND((E54/100)*ROUND((Source!CT25/IF(Source!BA25&lt;&gt;0,Source!BA25,1)*Source!I25),2),2)</f>
        <v>2193.36</v>
      </c>
      <c r="J54" s="6">
        <f>Source!AT25</f>
        <v>87</v>
      </c>
      <c r="K54" s="14">
        <v>33357.62</v>
      </c>
    </row>
    <row r="55" spans="1:11" ht="12.75">
      <c r="A55" s="6"/>
      <c r="B55" s="6"/>
      <c r="C55" s="6" t="s">
        <v>110</v>
      </c>
      <c r="D55" s="6" t="s">
        <v>109</v>
      </c>
      <c r="E55" s="6">
        <f>Source!DO25</f>
        <v>70</v>
      </c>
      <c r="F55" s="6"/>
      <c r="G55" s="6"/>
      <c r="H55" s="6"/>
      <c r="I55" s="14">
        <f>ROUND((E55/100)*ROUND((Source!CT25/IF(Source!BA25&lt;&gt;0,Source!BA25,1)*Source!I25),2),2)</f>
        <v>1943.48</v>
      </c>
      <c r="J55" s="6">
        <f>Source!AU25</f>
        <v>56</v>
      </c>
      <c r="K55" s="14">
        <f>Source!Y25</f>
        <v>21471.56</v>
      </c>
    </row>
    <row r="56" spans="1:11" ht="12.75">
      <c r="A56" s="6"/>
      <c r="B56" s="6"/>
      <c r="C56" s="6" t="s">
        <v>111</v>
      </c>
      <c r="D56" s="6" t="s">
        <v>109</v>
      </c>
      <c r="E56" s="6">
        <v>175</v>
      </c>
      <c r="F56" s="6"/>
      <c r="G56" s="6"/>
      <c r="H56" s="6"/>
      <c r="I56" s="14">
        <f>ROUND(ROUND((Source!CS25/IF(Source!BS25&lt;&gt;0,Source!BS25,1)*Source!I25),2)*1.75,2)</f>
        <v>313.5</v>
      </c>
      <c r="J56" s="6">
        <v>167</v>
      </c>
      <c r="K56" s="14">
        <f>ROUND(Source!R25*J56/100,2)</f>
        <v>4131.45</v>
      </c>
    </row>
    <row r="57" spans="1:11" ht="12.75">
      <c r="A57" s="31"/>
      <c r="B57" s="31"/>
      <c r="C57" s="31" t="s">
        <v>112</v>
      </c>
      <c r="D57" s="31" t="s">
        <v>113</v>
      </c>
      <c r="E57" s="31">
        <f>Source!AQ25</f>
        <v>110</v>
      </c>
      <c r="F57" s="31"/>
      <c r="G57" s="32">
        <f>Source!DI25</f>
      </c>
      <c r="H57" s="31">
        <f>Source!AV25</f>
        <v>1</v>
      </c>
      <c r="I57" s="33">
        <f>ROUND(Source!U25,2)</f>
        <v>220</v>
      </c>
      <c r="J57" s="31"/>
      <c r="K57" s="31"/>
    </row>
    <row r="58" spans="9:24" ht="12.75">
      <c r="I58" s="34">
        <f>ROUND((Source!CT25/IF(Source!BA25&lt;&gt;0,Source!BA25,1)*Source!I25),2)+ROUND((Source!CR25/IF(Source!BB25&lt;&gt;0,Source!BB25,1)*Source!I25),2)+ROUND((Source!CQ25/IF(Source!BC25&lt;&gt;0,Source!BC25,1)*Source!I25),2)+SUM(I54:I56)</f>
        <v>8725.2</v>
      </c>
      <c r="J58" s="7"/>
      <c r="K58" s="34">
        <f>Source!O25+SUM(K54:K56)</f>
        <v>105720.23000000001</v>
      </c>
      <c r="L58">
        <f>ROUND((Source!CT25/IF(Source!BA25&lt;&gt;0,Source!BA25,1)*Source!I25),2)</f>
        <v>2776.4</v>
      </c>
      <c r="M58" s="15">
        <f>I58</f>
        <v>8725.2</v>
      </c>
      <c r="N58" s="15">
        <f>K58</f>
        <v>105720.23000000001</v>
      </c>
      <c r="O58">
        <f>ROUND(IF(Source!BI25=1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P58">
        <f>ROUND(IF(Source!BI25=2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8725.19</v>
      </c>
      <c r="Q58">
        <f>ROUND(IF(Source!BI25=3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R58">
        <f>ROUND(IF(Source!BI25=4,(ROUND((Source!CT25/IF(Source!BA25&lt;&gt;0,Source!BA25,1)*Source!I25),2)+ROUND((Source!CR25/IF(Source!BB25&lt;&gt;0,Source!BB25,1)*Source!I25),2)+ROUND((Source!CQ25/IF(Source!BC25&lt;&gt;0,Source!BC25,1)*Source!I25),2)+((Source!DN25/100)*ROUND((Source!CT25/IF(Source!BA25&lt;&gt;0,Source!BA25,1)*Source!I25),2))+((Source!DO25/100)*ROUND((Source!CT25/IF(Source!BA25&lt;&gt;0,Source!BA25,1)*Source!I25),2))+(ROUND((Source!CS25/IF(Source!BS25&lt;&gt;0,Source!BS25,1)*Source!I25),2)*1.75)),0),2)</f>
        <v>0</v>
      </c>
      <c r="U58">
        <f>IF(Source!BI25=1,Source!O25+Source!X25+Source!Y25+Source!R25*167/100,0)</f>
        <v>0</v>
      </c>
      <c r="V58">
        <f>IF(Source!BI25=2,Source!O25+Source!X25+Source!Y25+Source!R25*167/100,0)</f>
        <v>105720.21639999999</v>
      </c>
      <c r="W58">
        <f>IF(Source!BI25=3,Source!O25+Source!X25+Source!Y25+Source!R25*167/100,0)</f>
        <v>0</v>
      </c>
      <c r="X58">
        <f>IF(Source!BI25=4,Source!O25+Source!X25+Source!Y25+Source!R25*167/100,0)</f>
        <v>0</v>
      </c>
    </row>
    <row r="60" spans="3:12" s="7" customFormat="1" ht="12.75">
      <c r="C60" s="7" t="s">
        <v>115</v>
      </c>
      <c r="H60" s="85">
        <f>SUM(M40:M59)</f>
        <v>15324.390000000001</v>
      </c>
      <c r="I60" s="85"/>
      <c r="J60" s="85">
        <f>SUM(N40:N59)</f>
        <v>188559.32</v>
      </c>
      <c r="K60" s="85"/>
      <c r="L60" s="34">
        <f>SUM(L40:L59)</f>
        <v>5319.969999999999</v>
      </c>
    </row>
    <row r="62" spans="3:11" ht="12.75">
      <c r="C62" s="35" t="s">
        <v>116</v>
      </c>
      <c r="D62" s="86"/>
      <c r="E62" s="86"/>
      <c r="F62" s="86"/>
      <c r="G62" s="86"/>
      <c r="H62" s="86"/>
      <c r="I62" s="86"/>
      <c r="J62" s="86"/>
      <c r="K62" s="86"/>
    </row>
    <row r="63" spans="3:11" ht="12.75">
      <c r="C63" s="80" t="str">
        <f>Source!H58</f>
        <v>Всего по смете</v>
      </c>
      <c r="D63" s="80"/>
      <c r="E63" s="80"/>
      <c r="F63" s="80"/>
      <c r="G63" s="80"/>
      <c r="H63" s="80"/>
      <c r="I63" s="80"/>
      <c r="J63" s="72">
        <v>188559.32</v>
      </c>
      <c r="K63" s="73"/>
    </row>
    <row r="64" spans="3:11" ht="12.75">
      <c r="C64" s="80" t="str">
        <f>Source!H59</f>
        <v>НДС 18%</v>
      </c>
      <c r="D64" s="80"/>
      <c r="E64" s="80"/>
      <c r="F64" s="80"/>
      <c r="G64" s="80"/>
      <c r="H64" s="80"/>
      <c r="I64" s="80"/>
      <c r="J64" s="72">
        <v>33940.68</v>
      </c>
      <c r="K64" s="73"/>
    </row>
    <row r="65" spans="3:11" ht="12.75">
      <c r="C65" s="80" t="str">
        <f>Source!H60</f>
        <v>Итого с НДС</v>
      </c>
      <c r="D65" s="80"/>
      <c r="E65" s="80"/>
      <c r="F65" s="80"/>
      <c r="G65" s="80"/>
      <c r="H65" s="80"/>
      <c r="I65" s="80"/>
      <c r="J65" s="72">
        <v>222500</v>
      </c>
      <c r="K65" s="73"/>
    </row>
    <row r="66" spans="3:12" s="7" customFormat="1" ht="12.75" hidden="1">
      <c r="C66" s="7" t="s">
        <v>117</v>
      </c>
      <c r="H66" s="85">
        <f>H60</f>
        <v>15324.390000000001</v>
      </c>
      <c r="I66" s="85"/>
      <c r="J66" s="85">
        <f>J60</f>
        <v>188559.32</v>
      </c>
      <c r="K66" s="93"/>
      <c r="L66" s="34">
        <f>L60</f>
        <v>5319.969999999999</v>
      </c>
    </row>
    <row r="70" spans="1:8" ht="12.75">
      <c r="A70" t="s">
        <v>118</v>
      </c>
      <c r="C70" s="36" t="str">
        <f>IF(Source!AO12&lt;&gt;"",Source!AO12," ")</f>
        <v> </v>
      </c>
      <c r="D70" s="36"/>
      <c r="E70" s="36"/>
      <c r="F70" s="36"/>
      <c r="G70" s="36"/>
      <c r="H70" t="str">
        <f>IF(Source!R12&lt;&gt;"",Source!R12," ")</f>
        <v> </v>
      </c>
    </row>
    <row r="71" spans="3:7" s="37" customFormat="1" ht="11.25">
      <c r="C71" s="87" t="s">
        <v>119</v>
      </c>
      <c r="D71" s="87"/>
      <c r="E71" s="87"/>
      <c r="F71" s="87"/>
      <c r="G71" s="87"/>
    </row>
    <row r="73" spans="1:8" ht="12.75">
      <c r="A73" t="s">
        <v>120</v>
      </c>
      <c r="C73" s="36" t="str">
        <f>IF(Source!AP12&lt;&gt;"",Source!AP12," ")</f>
        <v> </v>
      </c>
      <c r="D73" s="36"/>
      <c r="E73" s="36"/>
      <c r="F73" s="36"/>
      <c r="G73" s="36"/>
      <c r="H73" t="str">
        <f>IF(Source!S12&lt;&gt;"",Source!S12," ")</f>
        <v> </v>
      </c>
    </row>
    <row r="74" spans="3:7" s="37" customFormat="1" ht="11.25">
      <c r="C74" s="87" t="s">
        <v>119</v>
      </c>
      <c r="D74" s="87"/>
      <c r="E74" s="87"/>
      <c r="F74" s="87"/>
      <c r="G74" s="87"/>
    </row>
  </sheetData>
  <sheetProtection/>
  <mergeCells count="27">
    <mergeCell ref="F3:I3"/>
    <mergeCell ref="A5:D5"/>
    <mergeCell ref="F5:K5"/>
    <mergeCell ref="F7:K7"/>
    <mergeCell ref="A7:D7"/>
    <mergeCell ref="A12:K12"/>
    <mergeCell ref="A13:K13"/>
    <mergeCell ref="A15:K15"/>
    <mergeCell ref="A16:K16"/>
    <mergeCell ref="A18:K18"/>
    <mergeCell ref="B21:K21"/>
    <mergeCell ref="A20:K20"/>
    <mergeCell ref="A23:K23"/>
    <mergeCell ref="G34:H34"/>
    <mergeCell ref="J60:K60"/>
    <mergeCell ref="H60:I60"/>
    <mergeCell ref="D62:K62"/>
    <mergeCell ref="J66:K66"/>
    <mergeCell ref="H66:I66"/>
    <mergeCell ref="C71:G71"/>
    <mergeCell ref="C74:G74"/>
    <mergeCell ref="C63:I63"/>
    <mergeCell ref="J63:K63"/>
    <mergeCell ref="C64:I64"/>
    <mergeCell ref="J64:K64"/>
    <mergeCell ref="C65:I65"/>
    <mergeCell ref="J65:K65"/>
  </mergeCells>
  <printOptions/>
  <pageMargins left="0.38740157480315" right="0.196850393700787" top="0.393700787401575" bottom="0.393700787401575" header="0.11811023622047198" footer="0.11811023622047198"/>
  <pageSetup fitToHeight="1" fitToWidth="1" horizontalDpi="600" verticalDpi="600" orientation="portrait" paperSize="9" scale="78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L64"/>
  <sheetViews>
    <sheetView zoomScalePageLayoutView="0" workbookViewId="0" topLeftCell="A19">
      <selection activeCell="G25" sqref="G25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48084</v>
      </c>
    </row>
    <row r="12" spans="1:104" ht="12.75">
      <c r="A12" s="1">
        <v>1</v>
      </c>
      <c r="B12" s="1">
        <v>1</v>
      </c>
      <c r="C12" s="1">
        <v>0</v>
      </c>
      <c r="D12" s="1">
        <f>ROW(A43)</f>
        <v>43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2013</v>
      </c>
      <c r="Q12" s="1">
        <v>3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100</v>
      </c>
      <c r="AK12" s="1">
        <v>67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167</v>
      </c>
      <c r="BB12" s="1">
        <v>100</v>
      </c>
      <c r="BC12" s="1">
        <v>67</v>
      </c>
      <c r="BD12" s="1">
        <v>21450990</v>
      </c>
      <c r="BE12" s="1" t="s">
        <v>7</v>
      </c>
      <c r="BF12" s="1" t="s">
        <v>8</v>
      </c>
      <c r="BG12" s="1">
        <v>7155519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167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7182712</v>
      </c>
      <c r="CL12" s="1" t="s">
        <v>9</v>
      </c>
      <c r="CM12" s="1" t="s">
        <v>10</v>
      </c>
      <c r="CN12" s="1" t="s">
        <v>6</v>
      </c>
      <c r="CO12" s="1" t="s">
        <v>6</v>
      </c>
      <c r="CP12" s="1" t="s">
        <v>6</v>
      </c>
      <c r="CQ12" s="1" t="s">
        <v>6</v>
      </c>
      <c r="CR12" s="1" t="s">
        <v>11</v>
      </c>
      <c r="CS12" s="1">
        <v>8739335</v>
      </c>
      <c r="CT12" s="1">
        <v>0</v>
      </c>
      <c r="CU12" s="1">
        <v>0</v>
      </c>
      <c r="CV12" s="1">
        <v>7534350</v>
      </c>
      <c r="CW12" s="1">
        <v>21285822</v>
      </c>
      <c r="CX12" s="1">
        <v>21285823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B43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345 Смета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82430.17</v>
      </c>
      <c r="P18" s="2">
        <f t="shared" si="0"/>
        <v>2171.39</v>
      </c>
      <c r="Q18" s="2">
        <f t="shared" si="0"/>
        <v>11243.03</v>
      </c>
      <c r="R18" s="2">
        <f t="shared" si="0"/>
        <v>4453.06</v>
      </c>
      <c r="S18" s="2">
        <f t="shared" si="0"/>
        <v>69015.75</v>
      </c>
      <c r="T18" s="2">
        <f t="shared" si="0"/>
        <v>0</v>
      </c>
      <c r="U18" s="2">
        <f t="shared" si="0"/>
        <v>396</v>
      </c>
      <c r="V18" s="2">
        <f t="shared" si="0"/>
        <v>0</v>
      </c>
      <c r="W18" s="2">
        <f t="shared" si="0"/>
        <v>0</v>
      </c>
      <c r="X18" s="2">
        <f t="shared" si="0"/>
        <v>60043.7</v>
      </c>
      <c r="Y18" s="2">
        <f t="shared" si="0"/>
        <v>38648.82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ROW(A27)</f>
        <v>27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B27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82430.17</v>
      </c>
      <c r="P22" s="2">
        <f t="shared" si="1"/>
        <v>2171.39</v>
      </c>
      <c r="Q22" s="2">
        <f t="shared" si="1"/>
        <v>11243.03</v>
      </c>
      <c r="R22" s="2">
        <f t="shared" si="1"/>
        <v>4453.06</v>
      </c>
      <c r="S22" s="2">
        <f t="shared" si="1"/>
        <v>69015.75</v>
      </c>
      <c r="T22" s="2">
        <f t="shared" si="1"/>
        <v>0</v>
      </c>
      <c r="U22" s="2">
        <f t="shared" si="1"/>
        <v>396</v>
      </c>
      <c r="V22" s="2">
        <f t="shared" si="1"/>
        <v>0</v>
      </c>
      <c r="W22" s="2">
        <f t="shared" si="1"/>
        <v>0</v>
      </c>
      <c r="X22" s="2">
        <f t="shared" si="1"/>
        <v>60043.7</v>
      </c>
      <c r="Y22" s="2">
        <f t="shared" si="1"/>
        <v>38648.82</v>
      </c>
      <c r="Z22" s="2">
        <f t="shared" si="1"/>
        <v>0</v>
      </c>
      <c r="AA22" s="2">
        <f t="shared" si="1"/>
        <v>0</v>
      </c>
      <c r="AB22" s="2">
        <f t="shared" si="1"/>
        <v>82430.17</v>
      </c>
      <c r="AC22" s="2">
        <f t="shared" si="1"/>
        <v>2171.39</v>
      </c>
      <c r="AD22" s="2">
        <f t="shared" si="1"/>
        <v>11243.03</v>
      </c>
      <c r="AE22" s="2">
        <f t="shared" si="1"/>
        <v>4453.06</v>
      </c>
      <c r="AF22" s="2">
        <f t="shared" si="1"/>
        <v>69015.75</v>
      </c>
      <c r="AG22" s="2">
        <f t="shared" si="1"/>
        <v>0</v>
      </c>
      <c r="AH22" s="2">
        <f t="shared" si="1"/>
        <v>396</v>
      </c>
      <c r="AI22" s="2">
        <f t="shared" si="1"/>
        <v>0</v>
      </c>
      <c r="AJ22" s="2">
        <f t="shared" si="1"/>
        <v>0</v>
      </c>
      <c r="AK22" s="2">
        <f t="shared" si="1"/>
        <v>60043.7</v>
      </c>
      <c r="AL22" s="2">
        <f t="shared" si="1"/>
        <v>38648.82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94" ht="12.75">
      <c r="A24">
        <v>17</v>
      </c>
      <c r="B24">
        <v>1</v>
      </c>
      <c r="E24" t="s">
        <v>14</v>
      </c>
      <c r="F24" t="s">
        <v>15</v>
      </c>
      <c r="G24" t="s">
        <v>161</v>
      </c>
      <c r="H24" t="s">
        <v>16</v>
      </c>
      <c r="I24">
        <v>2</v>
      </c>
      <c r="J24">
        <v>0</v>
      </c>
      <c r="O24">
        <f>ROUND(CP24,2)</f>
        <v>35670.57</v>
      </c>
      <c r="P24">
        <f>ROUND(CQ24*I24,2)</f>
        <v>0</v>
      </c>
      <c r="Q24">
        <f>ROUND(CR24*I24,2)</f>
        <v>4996.9</v>
      </c>
      <c r="R24">
        <f>ROUND(CS24*I24,2)</f>
        <v>1979.14</v>
      </c>
      <c r="S24">
        <f>ROUND(CT24*I24,2)</f>
        <v>30673.67</v>
      </c>
      <c r="T24">
        <f>ROUND(CU24*I24,2)</f>
        <v>0</v>
      </c>
      <c r="U24">
        <f>CV24*I24</f>
        <v>176</v>
      </c>
      <c r="V24">
        <f>CW24*I24</f>
        <v>0</v>
      </c>
      <c r="W24">
        <f>ROUND(CX24*I24,2)</f>
        <v>0</v>
      </c>
      <c r="X24">
        <f>ROUND(CY24,2)</f>
        <v>26686.09</v>
      </c>
      <c r="Y24">
        <f>ROUND(CZ24,2)</f>
        <v>17177.26</v>
      </c>
      <c r="AA24">
        <v>0</v>
      </c>
      <c r="AB24">
        <f>(AC24+AD24+AF24)</f>
        <v>1519.4720000000002</v>
      </c>
      <c r="AC24">
        <f>((ES24*0.8))</f>
        <v>0</v>
      </c>
      <c r="AD24">
        <f>((ET24*0.8))</f>
        <v>408.91200000000003</v>
      </c>
      <c r="AE24">
        <f>((EU24*0.8))</f>
        <v>71.65599999999999</v>
      </c>
      <c r="AF24">
        <f>((EV24*0.8))</f>
        <v>1110.5600000000002</v>
      </c>
      <c r="AG24">
        <f>(AP24)</f>
        <v>0</v>
      </c>
      <c r="AH24">
        <f>((EW24*0.8))</f>
        <v>88</v>
      </c>
      <c r="AI24">
        <f>((EX24*0.8))</f>
        <v>0</v>
      </c>
      <c r="AJ24">
        <f>(AS24)</f>
        <v>0</v>
      </c>
      <c r="AK24">
        <v>1899.3400000000001</v>
      </c>
      <c r="AL24">
        <v>0</v>
      </c>
      <c r="AM24">
        <v>511.14</v>
      </c>
      <c r="AN24">
        <v>89.57</v>
      </c>
      <c r="AO24">
        <v>1388.2</v>
      </c>
      <c r="AP24">
        <v>0</v>
      </c>
      <c r="AQ24">
        <v>110</v>
      </c>
      <c r="AR24">
        <v>0</v>
      </c>
      <c r="AS24">
        <v>0</v>
      </c>
      <c r="AT24">
        <v>87</v>
      </c>
      <c r="AU24">
        <v>56</v>
      </c>
      <c r="AV24">
        <v>1</v>
      </c>
      <c r="AW24">
        <v>1</v>
      </c>
      <c r="AX24">
        <v>1</v>
      </c>
      <c r="AY24">
        <v>1</v>
      </c>
      <c r="AZ24">
        <v>13.81</v>
      </c>
      <c r="BA24">
        <v>13.81</v>
      </c>
      <c r="BB24">
        <v>6.11</v>
      </c>
      <c r="BC24">
        <v>4.56</v>
      </c>
      <c r="BH24">
        <v>0</v>
      </c>
      <c r="BI24">
        <v>2</v>
      </c>
      <c r="BJ24" t="s">
        <v>17</v>
      </c>
      <c r="BM24">
        <v>315</v>
      </c>
      <c r="BN24">
        <v>0</v>
      </c>
      <c r="BO24" t="s">
        <v>15</v>
      </c>
      <c r="BP24">
        <v>1</v>
      </c>
      <c r="BQ24">
        <v>40</v>
      </c>
      <c r="BR24">
        <v>0</v>
      </c>
      <c r="BS24">
        <v>13.81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87</v>
      </c>
      <c r="CA24">
        <v>56</v>
      </c>
      <c r="CF24">
        <v>0</v>
      </c>
      <c r="CG24">
        <v>0</v>
      </c>
      <c r="CM24">
        <v>0</v>
      </c>
      <c r="CO24">
        <v>0</v>
      </c>
      <c r="CP24">
        <f>(P24+Q24+S24)</f>
        <v>35670.57</v>
      </c>
      <c r="CQ24">
        <f>((AC24*AW24))*BC24</f>
        <v>0</v>
      </c>
      <c r="CR24">
        <f>((AD24*AV24))*BB24</f>
        <v>2498.4523200000003</v>
      </c>
      <c r="CS24">
        <f>((AE24*AV24))*BS24</f>
        <v>989.56936</v>
      </c>
      <c r="CT24">
        <f>((AF24*AV24))*BA24</f>
        <v>15336.833600000004</v>
      </c>
      <c r="CU24">
        <f>(AG24)*BT24</f>
        <v>0</v>
      </c>
      <c r="CV24">
        <f>((AH24*AV24))*BU24</f>
        <v>88</v>
      </c>
      <c r="CW24">
        <f>(AI24)*BV24</f>
        <v>0</v>
      </c>
      <c r="CX24">
        <f>(AJ24)*BW24</f>
        <v>0</v>
      </c>
      <c r="CY24">
        <f>S24*(BZ24/100)</f>
        <v>26686.0929</v>
      </c>
      <c r="CZ24">
        <f>S24*(CA24/100)</f>
        <v>17177.2552</v>
      </c>
      <c r="DD24" t="s">
        <v>18</v>
      </c>
      <c r="DE24" t="s">
        <v>18</v>
      </c>
      <c r="DF24" t="s">
        <v>18</v>
      </c>
      <c r="DG24" t="s">
        <v>18</v>
      </c>
      <c r="DI24" t="s">
        <v>18</v>
      </c>
      <c r="DJ24" t="s">
        <v>18</v>
      </c>
      <c r="DN24">
        <v>79</v>
      </c>
      <c r="DO24">
        <v>70</v>
      </c>
      <c r="DP24">
        <v>1.067</v>
      </c>
      <c r="DQ24">
        <v>1.028</v>
      </c>
      <c r="DR24">
        <v>1</v>
      </c>
      <c r="DS24">
        <v>1</v>
      </c>
      <c r="DT24">
        <v>1</v>
      </c>
      <c r="DU24">
        <v>1010</v>
      </c>
      <c r="DV24" t="s">
        <v>16</v>
      </c>
      <c r="DW24" t="s">
        <v>16</v>
      </c>
      <c r="DX24">
        <v>1</v>
      </c>
      <c r="EE24">
        <v>19752305</v>
      </c>
      <c r="EF24">
        <v>40</v>
      </c>
      <c r="EG24" t="s">
        <v>19</v>
      </c>
      <c r="EH24">
        <v>0</v>
      </c>
      <c r="EJ24">
        <v>2</v>
      </c>
      <c r="EK24">
        <v>315</v>
      </c>
      <c r="EL24" t="s">
        <v>20</v>
      </c>
      <c r="EM24" t="s">
        <v>21</v>
      </c>
      <c r="EQ24">
        <v>0</v>
      </c>
      <c r="ER24">
        <v>1899.3400000000001</v>
      </c>
      <c r="ES24">
        <v>0</v>
      </c>
      <c r="ET24">
        <v>511.14</v>
      </c>
      <c r="EU24">
        <v>89.57</v>
      </c>
      <c r="EV24">
        <v>1388.2</v>
      </c>
      <c r="EW24">
        <v>110</v>
      </c>
      <c r="EX24">
        <v>0</v>
      </c>
      <c r="EY24">
        <v>0</v>
      </c>
      <c r="EZ24">
        <v>0</v>
      </c>
      <c r="FQ24">
        <v>0</v>
      </c>
      <c r="FR24">
        <f>ROUND(IF(AND(AA24=0,BI24=3),P24,0),2)</f>
        <v>0</v>
      </c>
      <c r="FS24">
        <v>0</v>
      </c>
      <c r="FX24">
        <v>87</v>
      </c>
      <c r="FY24">
        <v>56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</row>
    <row r="25" spans="1:194" ht="12.75">
      <c r="A25">
        <v>17</v>
      </c>
      <c r="B25">
        <v>1</v>
      </c>
      <c r="E25" t="s">
        <v>22</v>
      </c>
      <c r="F25" t="s">
        <v>15</v>
      </c>
      <c r="G25" t="s">
        <v>159</v>
      </c>
      <c r="H25" t="s">
        <v>16</v>
      </c>
      <c r="I25">
        <v>2</v>
      </c>
      <c r="J25">
        <v>0</v>
      </c>
      <c r="O25">
        <f>ROUND(CP25,2)</f>
        <v>46759.6</v>
      </c>
      <c r="P25">
        <f>ROUND(CQ25*I25,2)</f>
        <v>2171.39</v>
      </c>
      <c r="Q25">
        <f>ROUND(CR25*I25,2)</f>
        <v>6246.13</v>
      </c>
      <c r="R25">
        <f>ROUND(CS25*I25,2)</f>
        <v>2473.92</v>
      </c>
      <c r="S25">
        <f>ROUND(CT25*I25,2)</f>
        <v>38342.08</v>
      </c>
      <c r="T25">
        <f>ROUND(CU25*I25,2)</f>
        <v>0</v>
      </c>
      <c r="U25">
        <f>CV25*I25</f>
        <v>220</v>
      </c>
      <c r="V25">
        <f>CW25*I25</f>
        <v>0</v>
      </c>
      <c r="W25">
        <f>ROUND(CX25*I25,2)</f>
        <v>0</v>
      </c>
      <c r="X25">
        <f>ROUND(CY25,2)</f>
        <v>33357.61</v>
      </c>
      <c r="Y25">
        <f>ROUND(CZ25,2)</f>
        <v>21471.56</v>
      </c>
      <c r="AA25">
        <v>0</v>
      </c>
      <c r="AB25">
        <f>(AC25+AD25+AF25)</f>
        <v>2137.4313</v>
      </c>
      <c r="AC25">
        <f>(ES25)</f>
        <v>238.0913</v>
      </c>
      <c r="AD25">
        <f>(ET25)</f>
        <v>511.14</v>
      </c>
      <c r="AE25">
        <f>(EU25)</f>
        <v>89.57</v>
      </c>
      <c r="AF25">
        <f>(EV25)</f>
        <v>1388.2</v>
      </c>
      <c r="AG25">
        <f>(AP25)</f>
        <v>0</v>
      </c>
      <c r="AH25">
        <f>(EW25)</f>
        <v>110</v>
      </c>
      <c r="AI25">
        <f>(EX25)</f>
        <v>0</v>
      </c>
      <c r="AJ25">
        <f>(AS25)</f>
        <v>0</v>
      </c>
      <c r="AK25">
        <v>2137.4313</v>
      </c>
      <c r="AL25">
        <v>238.0913</v>
      </c>
      <c r="AM25">
        <v>511.14</v>
      </c>
      <c r="AN25">
        <v>89.57</v>
      </c>
      <c r="AO25">
        <v>1388.2</v>
      </c>
      <c r="AP25">
        <v>0</v>
      </c>
      <c r="AQ25">
        <v>110</v>
      </c>
      <c r="AR25">
        <v>0</v>
      </c>
      <c r="AS25">
        <v>0</v>
      </c>
      <c r="AT25">
        <v>87</v>
      </c>
      <c r="AU25">
        <v>56</v>
      </c>
      <c r="AV25">
        <v>1</v>
      </c>
      <c r="AW25">
        <v>1</v>
      </c>
      <c r="AX25">
        <v>1</v>
      </c>
      <c r="AY25">
        <v>1</v>
      </c>
      <c r="AZ25">
        <v>13.81</v>
      </c>
      <c r="BA25">
        <v>13.81</v>
      </c>
      <c r="BB25">
        <v>6.11</v>
      </c>
      <c r="BC25">
        <v>4.56</v>
      </c>
      <c r="BH25">
        <v>0</v>
      </c>
      <c r="BI25">
        <v>2</v>
      </c>
      <c r="BJ25" t="s">
        <v>17</v>
      </c>
      <c r="BM25">
        <v>315</v>
      </c>
      <c r="BN25">
        <v>0</v>
      </c>
      <c r="BO25" t="s">
        <v>15</v>
      </c>
      <c r="BP25">
        <v>1</v>
      </c>
      <c r="BQ25">
        <v>40</v>
      </c>
      <c r="BR25">
        <v>0</v>
      </c>
      <c r="BS25">
        <v>13.81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87</v>
      </c>
      <c r="CA25">
        <v>56</v>
      </c>
      <c r="CF25">
        <v>0</v>
      </c>
      <c r="CG25">
        <v>0</v>
      </c>
      <c r="CM25">
        <v>0</v>
      </c>
      <c r="CO25">
        <v>0</v>
      </c>
      <c r="CP25">
        <f>(P25+Q25+S25)</f>
        <v>46759.600000000006</v>
      </c>
      <c r="CQ25">
        <f>((AC25*AW25))*BC25</f>
        <v>1085.6963279999998</v>
      </c>
      <c r="CR25">
        <f>((AD25*AV25))*BB25</f>
        <v>3123.0654</v>
      </c>
      <c r="CS25">
        <f>((AE25*AV25))*BS25</f>
        <v>1236.9616999999998</v>
      </c>
      <c r="CT25">
        <f>((AF25*AV25))*BA25</f>
        <v>19171.042</v>
      </c>
      <c r="CU25">
        <f>(AG25)*BT25</f>
        <v>0</v>
      </c>
      <c r="CV25">
        <f>((AH25*AV25))*BU25</f>
        <v>110</v>
      </c>
      <c r="CW25">
        <f>(AI25)*BV25</f>
        <v>0</v>
      </c>
      <c r="CX25">
        <f>(AJ25)*BW25</f>
        <v>0</v>
      </c>
      <c r="CY25">
        <f>S25*(BZ25/100)</f>
        <v>33357.6096</v>
      </c>
      <c r="CZ25">
        <f>S25*(CA25/100)</f>
        <v>21471.564800000004</v>
      </c>
      <c r="DN25">
        <v>79</v>
      </c>
      <c r="DO25">
        <v>70</v>
      </c>
      <c r="DP25">
        <v>1.067</v>
      </c>
      <c r="DQ25">
        <v>1.028</v>
      </c>
      <c r="DR25">
        <v>1</v>
      </c>
      <c r="DS25">
        <v>1</v>
      </c>
      <c r="DT25">
        <v>1</v>
      </c>
      <c r="DU25">
        <v>1010</v>
      </c>
      <c r="DV25" t="s">
        <v>16</v>
      </c>
      <c r="DW25" t="s">
        <v>16</v>
      </c>
      <c r="DX25">
        <v>1</v>
      </c>
      <c r="EE25">
        <v>19752305</v>
      </c>
      <c r="EF25">
        <v>40</v>
      </c>
      <c r="EG25" t="s">
        <v>19</v>
      </c>
      <c r="EH25">
        <v>0</v>
      </c>
      <c r="EJ25">
        <v>2</v>
      </c>
      <c r="EK25">
        <v>315</v>
      </c>
      <c r="EL25" t="s">
        <v>20</v>
      </c>
      <c r="EM25" t="s">
        <v>21</v>
      </c>
      <c r="EQ25">
        <v>0</v>
      </c>
      <c r="ER25">
        <v>2137.4313</v>
      </c>
      <c r="ES25">
        <v>238.0913</v>
      </c>
      <c r="ET25">
        <v>511.14</v>
      </c>
      <c r="EU25">
        <v>89.57</v>
      </c>
      <c r="EV25">
        <v>1388.2</v>
      </c>
      <c r="EW25">
        <v>110</v>
      </c>
      <c r="EX25">
        <v>0</v>
      </c>
      <c r="EY25">
        <v>0</v>
      </c>
      <c r="EZ25">
        <v>0</v>
      </c>
      <c r="FQ25">
        <v>0</v>
      </c>
      <c r="FR25">
        <f>ROUND(IF(AND(AA25=0,BI25=3),P25,0),2)</f>
        <v>0</v>
      </c>
      <c r="FS25">
        <v>0</v>
      </c>
      <c r="FX25">
        <v>87</v>
      </c>
      <c r="FY25">
        <v>56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</row>
    <row r="27" spans="1:43" ht="12.75">
      <c r="A27" s="2">
        <v>51</v>
      </c>
      <c r="B27" s="2">
        <f>B20</f>
        <v>1</v>
      </c>
      <c r="C27" s="2">
        <f>A20</f>
        <v>3</v>
      </c>
      <c r="D27" s="2">
        <f>ROW(A20)</f>
        <v>20</v>
      </c>
      <c r="E27" s="2"/>
      <c r="F27" s="2" t="str">
        <f>IF(F20&lt;&gt;"",F20,"")</f>
        <v>Новая локальная смета</v>
      </c>
      <c r="G27" s="2" t="str">
        <f>IF(G20&lt;&gt;"",G20,"")</f>
        <v>Новая локальная смета</v>
      </c>
      <c r="H27" s="2"/>
      <c r="I27" s="2"/>
      <c r="J27" s="2"/>
      <c r="K27" s="2"/>
      <c r="L27" s="2"/>
      <c r="M27" s="2"/>
      <c r="N27" s="2"/>
      <c r="O27" s="2">
        <f aca="true" t="shared" si="2" ref="O27:Y27">ROUND(AB27,2)</f>
        <v>82430.17</v>
      </c>
      <c r="P27" s="2">
        <f t="shared" si="2"/>
        <v>2171.39</v>
      </c>
      <c r="Q27" s="2">
        <f t="shared" si="2"/>
        <v>11243.03</v>
      </c>
      <c r="R27" s="2">
        <f t="shared" si="2"/>
        <v>4453.06</v>
      </c>
      <c r="S27" s="2">
        <f t="shared" si="2"/>
        <v>69015.75</v>
      </c>
      <c r="T27" s="2">
        <f t="shared" si="2"/>
        <v>0</v>
      </c>
      <c r="U27" s="2">
        <f t="shared" si="2"/>
        <v>396</v>
      </c>
      <c r="V27" s="2">
        <f t="shared" si="2"/>
        <v>0</v>
      </c>
      <c r="W27" s="2">
        <f t="shared" si="2"/>
        <v>0</v>
      </c>
      <c r="X27" s="2">
        <f t="shared" si="2"/>
        <v>60043.7</v>
      </c>
      <c r="Y27" s="2">
        <f t="shared" si="2"/>
        <v>38648.82</v>
      </c>
      <c r="Z27" s="2"/>
      <c r="AA27" s="2"/>
      <c r="AB27" s="2">
        <f>ROUND(SUMIF(AA24:AA25,"=0",O24:O25),2)</f>
        <v>82430.17</v>
      </c>
      <c r="AC27" s="2">
        <f>ROUND(SUMIF(AA24:AA25,"=0",P24:P25),2)</f>
        <v>2171.39</v>
      </c>
      <c r="AD27" s="2">
        <f>ROUND(SUMIF(AA24:AA25,"=0",Q24:Q25),2)</f>
        <v>11243.03</v>
      </c>
      <c r="AE27" s="2">
        <f>ROUND(SUMIF(AA24:AA25,"=0",R24:R25),2)</f>
        <v>4453.06</v>
      </c>
      <c r="AF27" s="2">
        <f>ROUND(SUMIF(AA24:AA25,"=0",S24:S25),2)</f>
        <v>69015.75</v>
      </c>
      <c r="AG27" s="2">
        <f>ROUND(SUMIF(AA24:AA25,"=0",T24:T25),2)</f>
        <v>0</v>
      </c>
      <c r="AH27" s="2">
        <f>ROUND(SUMIF(AA24:AA25,"=0",U24:U25),2)</f>
        <v>396</v>
      </c>
      <c r="AI27" s="2">
        <f>ROUND(SUMIF(AA24:AA25,"=0",V24:V25),2)</f>
        <v>0</v>
      </c>
      <c r="AJ27" s="2">
        <f>ROUND(SUMIF(AA24:AA25,"=0",W24:W25),2)</f>
        <v>0</v>
      </c>
      <c r="AK27" s="2">
        <f>ROUND(SUMIF(AA24:AA25,"=0",X24:X25),2)</f>
        <v>60043.7</v>
      </c>
      <c r="AL27" s="2">
        <f>ROUND(SUMIF(AA24:AA25,"=0",Y24:Y25),2)</f>
        <v>38648.82</v>
      </c>
      <c r="AM27" s="2"/>
      <c r="AN27" s="2">
        <f>ROUND(AO27,2)</f>
        <v>0</v>
      </c>
      <c r="AO27" s="2">
        <f>ROUND(SUMIF(AA24:AA25,"=0",FQ24:FQ25),2)</f>
        <v>0</v>
      </c>
      <c r="AP27" s="2">
        <f>ROUND(AQ27,2)</f>
        <v>0</v>
      </c>
      <c r="AQ27" s="2">
        <f>ROUND(SUM(FR24:FR25),2)</f>
        <v>0</v>
      </c>
    </row>
    <row r="29" spans="1:14" ht="12.75">
      <c r="A29" s="3">
        <v>50</v>
      </c>
      <c r="B29" s="3">
        <v>0</v>
      </c>
      <c r="C29" s="3">
        <v>0</v>
      </c>
      <c r="D29" s="3">
        <v>1</v>
      </c>
      <c r="E29" s="3">
        <v>201</v>
      </c>
      <c r="F29" s="3">
        <f>Source!O27</f>
        <v>82430.17</v>
      </c>
      <c r="G29" s="3" t="s">
        <v>23</v>
      </c>
      <c r="H29" s="3" t="s">
        <v>24</v>
      </c>
      <c r="I29" s="3"/>
      <c r="J29" s="3"/>
      <c r="K29" s="3">
        <v>201</v>
      </c>
      <c r="L29" s="3">
        <v>1</v>
      </c>
      <c r="M29" s="3">
        <v>3</v>
      </c>
      <c r="N29" s="3" t="s">
        <v>3</v>
      </c>
    </row>
    <row r="30" spans="1:14" ht="12.75">
      <c r="A30" s="3">
        <v>50</v>
      </c>
      <c r="B30" s="3">
        <v>0</v>
      </c>
      <c r="C30" s="3">
        <v>0</v>
      </c>
      <c r="D30" s="3">
        <v>1</v>
      </c>
      <c r="E30" s="3">
        <v>202</v>
      </c>
      <c r="F30" s="3">
        <f>Source!P27</f>
        <v>2171.39</v>
      </c>
      <c r="G30" s="3" t="s">
        <v>25</v>
      </c>
      <c r="H30" s="3" t="s">
        <v>26</v>
      </c>
      <c r="I30" s="3"/>
      <c r="J30" s="3"/>
      <c r="K30" s="3">
        <v>202</v>
      </c>
      <c r="L30" s="3">
        <v>2</v>
      </c>
      <c r="M30" s="3">
        <v>3</v>
      </c>
      <c r="N30" s="3" t="s">
        <v>3</v>
      </c>
    </row>
    <row r="31" spans="1:14" ht="12.75">
      <c r="A31" s="3">
        <v>50</v>
      </c>
      <c r="B31" s="3">
        <v>0</v>
      </c>
      <c r="C31" s="3">
        <v>0</v>
      </c>
      <c r="D31" s="3">
        <v>1</v>
      </c>
      <c r="E31" s="3">
        <v>222</v>
      </c>
      <c r="F31" s="3">
        <f>Source!AN27</f>
        <v>0</v>
      </c>
      <c r="G31" s="3" t="s">
        <v>27</v>
      </c>
      <c r="H31" s="3" t="s">
        <v>28</v>
      </c>
      <c r="I31" s="3"/>
      <c r="J31" s="3"/>
      <c r="K31" s="3">
        <v>222</v>
      </c>
      <c r="L31" s="3">
        <v>3</v>
      </c>
      <c r="M31" s="3">
        <v>3</v>
      </c>
      <c r="N31" s="3" t="s">
        <v>3</v>
      </c>
    </row>
    <row r="32" spans="1:14" ht="12.75">
      <c r="A32" s="3">
        <v>50</v>
      </c>
      <c r="B32" s="3">
        <v>0</v>
      </c>
      <c r="C32" s="3">
        <v>0</v>
      </c>
      <c r="D32" s="3">
        <v>1</v>
      </c>
      <c r="E32" s="3">
        <v>216</v>
      </c>
      <c r="F32" s="3">
        <f>Source!AP27</f>
        <v>0</v>
      </c>
      <c r="G32" s="3" t="s">
        <v>29</v>
      </c>
      <c r="H32" s="3" t="s">
        <v>30</v>
      </c>
      <c r="I32" s="3"/>
      <c r="J32" s="3"/>
      <c r="K32" s="3">
        <v>216</v>
      </c>
      <c r="L32" s="3">
        <v>4</v>
      </c>
      <c r="M32" s="3">
        <v>3</v>
      </c>
      <c r="N32" s="3" t="s">
        <v>3</v>
      </c>
    </row>
    <row r="33" spans="1:14" ht="12.75">
      <c r="A33" s="3">
        <v>50</v>
      </c>
      <c r="B33" s="3">
        <v>0</v>
      </c>
      <c r="C33" s="3">
        <v>0</v>
      </c>
      <c r="D33" s="3">
        <v>1</v>
      </c>
      <c r="E33" s="3">
        <v>203</v>
      </c>
      <c r="F33" s="3">
        <f>Source!Q27</f>
        <v>11243.03</v>
      </c>
      <c r="G33" s="3" t="s">
        <v>31</v>
      </c>
      <c r="H33" s="3" t="s">
        <v>32</v>
      </c>
      <c r="I33" s="3"/>
      <c r="J33" s="3"/>
      <c r="K33" s="3">
        <v>203</v>
      </c>
      <c r="L33" s="3">
        <v>5</v>
      </c>
      <c r="M33" s="3">
        <v>3</v>
      </c>
      <c r="N33" s="3" t="s">
        <v>3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204</v>
      </c>
      <c r="F34" s="3">
        <f>Source!R27</f>
        <v>4453.06</v>
      </c>
      <c r="G34" s="3" t="s">
        <v>33</v>
      </c>
      <c r="H34" s="3" t="s">
        <v>34</v>
      </c>
      <c r="I34" s="3"/>
      <c r="J34" s="3"/>
      <c r="K34" s="3">
        <v>204</v>
      </c>
      <c r="L34" s="3">
        <v>6</v>
      </c>
      <c r="M34" s="3">
        <v>3</v>
      </c>
      <c r="N34" s="3" t="s">
        <v>3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205</v>
      </c>
      <c r="F35" s="3">
        <f>Source!S27</f>
        <v>69015.75</v>
      </c>
      <c r="G35" s="3" t="s">
        <v>35</v>
      </c>
      <c r="H35" s="3" t="s">
        <v>36</v>
      </c>
      <c r="I35" s="3"/>
      <c r="J35" s="3"/>
      <c r="K35" s="3">
        <v>205</v>
      </c>
      <c r="L35" s="3">
        <v>7</v>
      </c>
      <c r="M35" s="3">
        <v>3</v>
      </c>
      <c r="N35" s="3" t="s">
        <v>3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206</v>
      </c>
      <c r="F36" s="3">
        <f>Source!T27</f>
        <v>0</v>
      </c>
      <c r="G36" s="3" t="s">
        <v>37</v>
      </c>
      <c r="H36" s="3" t="s">
        <v>38</v>
      </c>
      <c r="I36" s="3"/>
      <c r="J36" s="3"/>
      <c r="K36" s="3">
        <v>206</v>
      </c>
      <c r="L36" s="3">
        <v>8</v>
      </c>
      <c r="M36" s="3">
        <v>3</v>
      </c>
      <c r="N36" s="3" t="s">
        <v>3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207</v>
      </c>
      <c r="F37" s="3">
        <f>Source!U27</f>
        <v>396</v>
      </c>
      <c r="G37" s="3" t="s">
        <v>39</v>
      </c>
      <c r="H37" s="3" t="s">
        <v>40</v>
      </c>
      <c r="I37" s="3"/>
      <c r="J37" s="3"/>
      <c r="K37" s="3">
        <v>207</v>
      </c>
      <c r="L37" s="3">
        <v>9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208</v>
      </c>
      <c r="F38" s="3">
        <f>Source!V27</f>
        <v>0</v>
      </c>
      <c r="G38" s="3" t="s">
        <v>41</v>
      </c>
      <c r="H38" s="3" t="s">
        <v>42</v>
      </c>
      <c r="I38" s="3"/>
      <c r="J38" s="3"/>
      <c r="K38" s="3">
        <v>208</v>
      </c>
      <c r="L38" s="3">
        <v>10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209</v>
      </c>
      <c r="F39" s="3">
        <f>Source!W27</f>
        <v>0</v>
      </c>
      <c r="G39" s="3" t="s">
        <v>43</v>
      </c>
      <c r="H39" s="3" t="s">
        <v>44</v>
      </c>
      <c r="I39" s="3"/>
      <c r="J39" s="3"/>
      <c r="K39" s="3">
        <v>209</v>
      </c>
      <c r="L39" s="3">
        <v>11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210</v>
      </c>
      <c r="F40" s="3">
        <f>Source!X27</f>
        <v>60043.7</v>
      </c>
      <c r="G40" s="3" t="s">
        <v>45</v>
      </c>
      <c r="H40" s="3" t="s">
        <v>46</v>
      </c>
      <c r="I40" s="3"/>
      <c r="J40" s="3"/>
      <c r="K40" s="3">
        <v>210</v>
      </c>
      <c r="L40" s="3">
        <v>12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211</v>
      </c>
      <c r="F41" s="3">
        <f>Source!Y27</f>
        <v>38648.82</v>
      </c>
      <c r="G41" s="3" t="s">
        <v>47</v>
      </c>
      <c r="H41" s="3" t="s">
        <v>48</v>
      </c>
      <c r="I41" s="3"/>
      <c r="J41" s="3"/>
      <c r="K41" s="3">
        <v>211</v>
      </c>
      <c r="L41" s="3">
        <v>13</v>
      </c>
      <c r="M41" s="3">
        <v>3</v>
      </c>
      <c r="N41" s="3" t="s">
        <v>3</v>
      </c>
    </row>
    <row r="43" spans="1:43" ht="12.75">
      <c r="A43" s="2">
        <v>51</v>
      </c>
      <c r="B43" s="2">
        <f>B12</f>
        <v>1</v>
      </c>
      <c r="C43" s="2">
        <f>A12</f>
        <v>1</v>
      </c>
      <c r="D43" s="2">
        <f>ROW(A12)</f>
        <v>12</v>
      </c>
      <c r="E43" s="2"/>
      <c r="F43" s="2" t="str">
        <f>IF(F12&lt;&gt;"",F12,"")</f>
        <v>Новый объект</v>
      </c>
      <c r="G43" s="2" t="str">
        <f>IF(G12&lt;&gt;"",G12,"")</f>
        <v>345 Смета</v>
      </c>
      <c r="H43" s="2"/>
      <c r="I43" s="2"/>
      <c r="J43" s="2"/>
      <c r="K43" s="2"/>
      <c r="L43" s="2"/>
      <c r="M43" s="2"/>
      <c r="N43" s="2"/>
      <c r="O43" s="2">
        <f aca="true" t="shared" si="3" ref="O43:Y43">ROUND(O27,2)</f>
        <v>82430.17</v>
      </c>
      <c r="P43" s="2">
        <f t="shared" si="3"/>
        <v>2171.39</v>
      </c>
      <c r="Q43" s="2">
        <f t="shared" si="3"/>
        <v>11243.03</v>
      </c>
      <c r="R43" s="2">
        <f t="shared" si="3"/>
        <v>4453.06</v>
      </c>
      <c r="S43" s="2">
        <f t="shared" si="3"/>
        <v>69015.75</v>
      </c>
      <c r="T43" s="2">
        <f t="shared" si="3"/>
        <v>0</v>
      </c>
      <c r="U43" s="2">
        <f t="shared" si="3"/>
        <v>396</v>
      </c>
      <c r="V43" s="2">
        <f t="shared" si="3"/>
        <v>0</v>
      </c>
      <c r="W43" s="2">
        <f t="shared" si="3"/>
        <v>0</v>
      </c>
      <c r="X43" s="2">
        <f t="shared" si="3"/>
        <v>60043.7</v>
      </c>
      <c r="Y43" s="2">
        <f t="shared" si="3"/>
        <v>38648.82</v>
      </c>
      <c r="Z43" s="2"/>
      <c r="AA43" s="2"/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/>
      <c r="AN43" s="2">
        <f>ROUND(AN27,2)</f>
        <v>0</v>
      </c>
      <c r="AO43" s="2">
        <v>0</v>
      </c>
      <c r="AP43" s="2">
        <f>ROUND(AP27,2)</f>
        <v>0</v>
      </c>
      <c r="AQ43" s="2">
        <v>0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201</v>
      </c>
      <c r="F45" s="3">
        <f>Source!O43</f>
        <v>82430.17</v>
      </c>
      <c r="G45" s="3" t="s">
        <v>23</v>
      </c>
      <c r="H45" s="3" t="s">
        <v>24</v>
      </c>
      <c r="I45" s="3"/>
      <c r="J45" s="3"/>
      <c r="K45" s="3">
        <v>201</v>
      </c>
      <c r="L45" s="3">
        <v>1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202</v>
      </c>
      <c r="F46" s="3">
        <f>Source!P43</f>
        <v>2171.39</v>
      </c>
      <c r="G46" s="3" t="s">
        <v>25</v>
      </c>
      <c r="H46" s="3" t="s">
        <v>26</v>
      </c>
      <c r="I46" s="3"/>
      <c r="J46" s="3"/>
      <c r="K46" s="3">
        <v>202</v>
      </c>
      <c r="L46" s="3">
        <v>2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222</v>
      </c>
      <c r="F47" s="3">
        <f>Source!AN43</f>
        <v>0</v>
      </c>
      <c r="G47" s="3" t="s">
        <v>27</v>
      </c>
      <c r="H47" s="3" t="s">
        <v>28</v>
      </c>
      <c r="I47" s="3"/>
      <c r="J47" s="3"/>
      <c r="K47" s="3">
        <v>222</v>
      </c>
      <c r="L47" s="3">
        <v>3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216</v>
      </c>
      <c r="F48" s="3">
        <f>Source!AP43</f>
        <v>0</v>
      </c>
      <c r="G48" s="3" t="s">
        <v>29</v>
      </c>
      <c r="H48" s="3" t="s">
        <v>30</v>
      </c>
      <c r="I48" s="3"/>
      <c r="J48" s="3"/>
      <c r="K48" s="3">
        <v>216</v>
      </c>
      <c r="L48" s="3">
        <v>4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203</v>
      </c>
      <c r="F49" s="3">
        <f>Source!Q43</f>
        <v>11243.03</v>
      </c>
      <c r="G49" s="3" t="s">
        <v>31</v>
      </c>
      <c r="H49" s="3" t="s">
        <v>32</v>
      </c>
      <c r="I49" s="3"/>
      <c r="J49" s="3"/>
      <c r="K49" s="3">
        <v>203</v>
      </c>
      <c r="L49" s="3">
        <v>5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204</v>
      </c>
      <c r="F50" s="3">
        <f>Source!R43</f>
        <v>4453.06</v>
      </c>
      <c r="G50" s="3" t="s">
        <v>33</v>
      </c>
      <c r="H50" s="3" t="s">
        <v>34</v>
      </c>
      <c r="I50" s="3"/>
      <c r="J50" s="3"/>
      <c r="K50" s="3">
        <v>204</v>
      </c>
      <c r="L50" s="3">
        <v>6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205</v>
      </c>
      <c r="F51" s="3">
        <f>Source!S43</f>
        <v>69015.75</v>
      </c>
      <c r="G51" s="3" t="s">
        <v>35</v>
      </c>
      <c r="H51" s="3" t="s">
        <v>36</v>
      </c>
      <c r="I51" s="3"/>
      <c r="J51" s="3"/>
      <c r="K51" s="3">
        <v>205</v>
      </c>
      <c r="L51" s="3">
        <v>7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206</v>
      </c>
      <c r="F52" s="3">
        <f>Source!T43</f>
        <v>0</v>
      </c>
      <c r="G52" s="3" t="s">
        <v>37</v>
      </c>
      <c r="H52" s="3" t="s">
        <v>38</v>
      </c>
      <c r="I52" s="3"/>
      <c r="J52" s="3"/>
      <c r="K52" s="3">
        <v>206</v>
      </c>
      <c r="L52" s="3">
        <v>8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207</v>
      </c>
      <c r="F53" s="3">
        <f>Source!U43</f>
        <v>396</v>
      </c>
      <c r="G53" s="3" t="s">
        <v>39</v>
      </c>
      <c r="H53" s="3" t="s">
        <v>40</v>
      </c>
      <c r="I53" s="3"/>
      <c r="J53" s="3"/>
      <c r="K53" s="3">
        <v>207</v>
      </c>
      <c r="L53" s="3">
        <v>9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208</v>
      </c>
      <c r="F54" s="3">
        <f>Source!V43</f>
        <v>0</v>
      </c>
      <c r="G54" s="3" t="s">
        <v>41</v>
      </c>
      <c r="H54" s="3" t="s">
        <v>42</v>
      </c>
      <c r="I54" s="3"/>
      <c r="J54" s="3"/>
      <c r="K54" s="3">
        <v>208</v>
      </c>
      <c r="L54" s="3">
        <v>10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209</v>
      </c>
      <c r="F55" s="3">
        <f>Source!W43</f>
        <v>0</v>
      </c>
      <c r="G55" s="3" t="s">
        <v>43</v>
      </c>
      <c r="H55" s="3" t="s">
        <v>44</v>
      </c>
      <c r="I55" s="3"/>
      <c r="J55" s="3"/>
      <c r="K55" s="3">
        <v>209</v>
      </c>
      <c r="L55" s="3">
        <v>11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210</v>
      </c>
      <c r="F56" s="3">
        <f>Source!X43</f>
        <v>60043.7</v>
      </c>
      <c r="G56" s="3" t="s">
        <v>45</v>
      </c>
      <c r="H56" s="3" t="s">
        <v>46</v>
      </c>
      <c r="I56" s="3"/>
      <c r="J56" s="3"/>
      <c r="K56" s="3">
        <v>210</v>
      </c>
      <c r="L56" s="3">
        <v>12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211</v>
      </c>
      <c r="F57" s="3">
        <f>Source!Y43</f>
        <v>38648.82</v>
      </c>
      <c r="G57" s="3" t="s">
        <v>47</v>
      </c>
      <c r="H57" s="3" t="s">
        <v>48</v>
      </c>
      <c r="I57" s="3"/>
      <c r="J57" s="3"/>
      <c r="K57" s="3">
        <v>211</v>
      </c>
      <c r="L57" s="3">
        <v>13</v>
      </c>
      <c r="M57" s="3">
        <v>3</v>
      </c>
      <c r="N57" s="3" t="s">
        <v>3</v>
      </c>
    </row>
    <row r="58" spans="1:14" ht="12.75">
      <c r="A58" s="3">
        <v>50</v>
      </c>
      <c r="B58" s="3">
        <v>1</v>
      </c>
      <c r="C58" s="3">
        <v>0</v>
      </c>
      <c r="D58" s="3">
        <v>2</v>
      </c>
      <c r="E58" s="3">
        <v>0</v>
      </c>
      <c r="F58" s="3">
        <f>ROUND(Source!F45+Source!F56+Source!F57+Source!F50*1.67,2)</f>
        <v>188559.3</v>
      </c>
      <c r="G58" s="3" t="s">
        <v>49</v>
      </c>
      <c r="H58" s="3" t="s">
        <v>50</v>
      </c>
      <c r="I58" s="3"/>
      <c r="J58" s="3"/>
      <c r="K58" s="3">
        <v>212</v>
      </c>
      <c r="L58" s="3">
        <v>14</v>
      </c>
      <c r="M58" s="3">
        <v>0</v>
      </c>
      <c r="N58" s="3" t="s">
        <v>3</v>
      </c>
    </row>
    <row r="59" spans="1:14" ht="12.75">
      <c r="A59" s="3">
        <v>50</v>
      </c>
      <c r="B59" s="3">
        <v>1</v>
      </c>
      <c r="C59" s="3">
        <v>0</v>
      </c>
      <c r="D59" s="3">
        <v>2</v>
      </c>
      <c r="E59" s="3">
        <v>0</v>
      </c>
      <c r="F59" s="3">
        <f>ROUND(Source!F58*0.18,2)</f>
        <v>33940.67</v>
      </c>
      <c r="G59" s="3" t="s">
        <v>51</v>
      </c>
      <c r="H59" s="3" t="s">
        <v>52</v>
      </c>
      <c r="I59" s="3"/>
      <c r="J59" s="3"/>
      <c r="K59" s="3">
        <v>212</v>
      </c>
      <c r="L59" s="3">
        <v>15</v>
      </c>
      <c r="M59" s="3">
        <v>0</v>
      </c>
      <c r="N59" s="3" t="s">
        <v>3</v>
      </c>
    </row>
    <row r="60" spans="1:14" ht="12.75">
      <c r="A60" s="3">
        <v>50</v>
      </c>
      <c r="B60" s="3">
        <v>1</v>
      </c>
      <c r="C60" s="3">
        <v>0</v>
      </c>
      <c r="D60" s="3">
        <v>2</v>
      </c>
      <c r="E60" s="3">
        <v>213</v>
      </c>
      <c r="F60" s="3">
        <f>ROUND(Source!F58+Source!F59,2)</f>
        <v>222499.97</v>
      </c>
      <c r="G60" s="3" t="s">
        <v>53</v>
      </c>
      <c r="H60" s="3" t="s">
        <v>54</v>
      </c>
      <c r="I60" s="3"/>
      <c r="J60" s="3"/>
      <c r="K60" s="3">
        <v>212</v>
      </c>
      <c r="L60" s="3">
        <v>16</v>
      </c>
      <c r="M60" s="3">
        <v>0</v>
      </c>
      <c r="N60" s="3" t="s">
        <v>3</v>
      </c>
    </row>
    <row r="64" spans="1:5" ht="12.75">
      <c r="A64">
        <v>65</v>
      </c>
      <c r="C64">
        <v>1</v>
      </c>
      <c r="D64">
        <v>0</v>
      </c>
      <c r="E64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2013-10-15T07:54:48Z</cp:lastPrinted>
  <dcterms:created xsi:type="dcterms:W3CDTF">2013-06-24T08:29:39Z</dcterms:created>
  <dcterms:modified xsi:type="dcterms:W3CDTF">2013-10-16T06:30:56Z</dcterms:modified>
  <cp:category/>
  <cp:version/>
  <cp:contentType/>
  <cp:contentStatus/>
</cp:coreProperties>
</file>