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1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ТСН-2001'!$34:$34</definedName>
    <definedName name="_xlnm.Print_Area" localSheetId="0">'Смета по ТСН-2001'!$A$1:$K$250</definedName>
  </definedNames>
  <calcPr fullCalcOnLoad="1"/>
</workbook>
</file>

<file path=xl/sharedStrings.xml><?xml version="1.0" encoding="utf-8"?>
<sst xmlns="http://schemas.openxmlformats.org/spreadsheetml/2006/main" count="3195" uniqueCount="390">
  <si>
    <t>Smeta.RU  (495) 974-1589</t>
  </si>
  <si>
    <t>_PS_</t>
  </si>
  <si>
    <t>Smeta.RU</t>
  </si>
  <si>
    <t/>
  </si>
  <si>
    <t>Новый объект</t>
  </si>
  <si>
    <t>МДЦМП (Копия)</t>
  </si>
  <si>
    <t>ул.Люблинская, дом 151</t>
  </si>
  <si>
    <t>Г.А.Богачев</t>
  </si>
  <si>
    <t>Генеральный директор</t>
  </si>
  <si>
    <t>ОАО "МДЦМП Марьино"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</si>
  <si>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</si>
  <si>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</si>
  <si>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</si>
  <si>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</si>
  <si>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</si>
  <si>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Поправки для ТСН-2001</t>
  </si>
  <si>
    <t>Новая локальная смета</t>
  </si>
  <si>
    <t>Новый раздел</t>
  </si>
  <si>
    <t>1</t>
  </si>
  <si>
    <t>6.57-3-1</t>
  </si>
  <si>
    <t>РАЗБОРКА  ПЛИНТУСОВ</t>
  </si>
  <si>
    <t>100 м</t>
  </si>
  <si>
    <t>ТСН-2001.6. База. Сб.57, т.3, поз.1</t>
  </si>
  <si>
    <t>Ремонтно-строительные работы</t>
  </si>
  <si>
    <t>ТСН-2001.6-57. 57-1...57-5</t>
  </si>
  <si>
    <t>ТСН-2001.6-57-1</t>
  </si>
  <si>
    <t>2</t>
  </si>
  <si>
    <t>6.57-2-5</t>
  </si>
  <si>
    <t>РАЗБОРКА ПОКРЫТИЙ ИЗ ЛИНОЛЕУМА</t>
  </si>
  <si>
    <t>100 м2</t>
  </si>
  <si>
    <t>ТСН-2001.6. База. Сб.57, т.2, поз.5</t>
  </si>
  <si>
    <t>*1,25</t>
  </si>
  <si>
    <t>*1,15</t>
  </si>
  <si>
    <t>3</t>
  </si>
  <si>
    <t>3.11-26-1</t>
  </si>
  <si>
    <t>УСТРОЙСТВО ПОКРЫТИЙ ИЗ  ЛИНОЛЕУМА</t>
  </si>
  <si>
    <t>ТСН-2001.3. Доп.11. Сб.11, т.26, поз.1</t>
  </si>
  <si>
    <t>Строительные работы</t>
  </si>
  <si>
    <t>ТСН-2001.3-11. 11-13...11-35 (доп. 11)</t>
  </si>
  <si>
    <t>ТСН-2001.3-11-4</t>
  </si>
  <si>
    <t>3,1</t>
  </si>
  <si>
    <t>1.1-1-2409</t>
  </si>
  <si>
    <t>ЛИНОЛЕУМ ПОЛИВИНИЛХЛОРИДНЫЙ</t>
  </si>
  <si>
    <t>м2</t>
  </si>
  <si>
    <t>ТСН-2001.1. Доп.15. Р.1, о.1, поз.2409</t>
  </si>
  <si>
    <t>3,2</t>
  </si>
  <si>
    <t>1.1-1-389</t>
  </si>
  <si>
    <t>КЛЕЙ ДИСПЕРСНЫЙ, 'АДМ-К'</t>
  </si>
  <si>
    <t>т</t>
  </si>
  <si>
    <t>ТСН-2001.1. База. Р.1, о.1, поз.389</t>
  </si>
  <si>
    <t>4</t>
  </si>
  <si>
    <t>3.11-28-7</t>
  </si>
  <si>
    <t>УСТРОЙСТВО ПЛИНТУСОВ  С КРЕПЛЕНИЕМ К СТЕНАМ ШУРУПАМИ</t>
  </si>
  <si>
    <t>ТСН-2001.3. Доп.11. Сб.11, т.28, поз.7</t>
  </si>
  <si>
    <t>4,1</t>
  </si>
  <si>
    <t>1.1-1-289</t>
  </si>
  <si>
    <t>ПЛИНТУСЫ ПОЛИВИНИЛХЛОРИДНЫЕ</t>
  </si>
  <si>
    <t>м</t>
  </si>
  <si>
    <t>ТСН-2001.1. База. Р.1, о.1, поз.289</t>
  </si>
  <si>
    <t>5</t>
  </si>
  <si>
    <t>6.54-1-6</t>
  </si>
  <si>
    <t>РАЗБОРКА ПОДВЕСНЫХ ПОТОЛКОВ</t>
  </si>
  <si>
    <t>ТСН-2001.6. База. Сб.54, т.1, поз.6</t>
  </si>
  <si>
    <t>ТСН-2001.6-54. 54-1...54-5</t>
  </si>
  <si>
    <t>ТСН-2001.6-54-2</t>
  </si>
  <si>
    <t>6</t>
  </si>
  <si>
    <t>3.10-71-3</t>
  </si>
  <si>
    <t>УСТРОЙСТВО ПЕРЕГОРОДОК С ОДНОРЯДНЫМ КАРКАСОМ С ОБШИВКОЙ ГИПСОКАРТОННЫМИ ЛИСТАМИ ДВУХ СТОРОН В ОДИН СЛОЙ И ИЗОЛЯЦИЕЙ - ДВУХСЛОЙНЫЕ С ИЗОЛЯЦИЕЙ (БЕЗ ПОДГОТОВКИ ПОД ОТДЕЛКУ)</t>
  </si>
  <si>
    <t>ТСН-2001.3. База. Сб.10, т.71, поз.3</t>
  </si>
  <si>
    <t>ТСН-2001.3-10. 10-70...10-72</t>
  </si>
  <si>
    <t>ТСН-2001.3-10-2</t>
  </si>
  <si>
    <t>6,1</t>
  </si>
  <si>
    <t>1.7-4-18</t>
  </si>
  <si>
    <t>ПРОФИЛИ НАПРАВЛЯЮЩИХ МЕТАЛЛИЧЕСКИЕ ДЛЯ МОНТАЖА ГИПСОВЫХ ПЕРЕГОРОДОК И ПОДВЕСНЫХ ПОТОЛКОВ СТАЛЬНЫЕ, ОЦИНКОВАННЫЕ, МАРКА ПН-6, СЕЧЕНИЕ 100Х40Х0,55 ММ</t>
  </si>
  <si>
    <t>ТСН-2001.1. База. Р.7, о.4, поз.18</t>
  </si>
  <si>
    <t>6,2</t>
  </si>
  <si>
    <t>1.7-4-8</t>
  </si>
  <si>
    <t>ПРОФИЛИ СТОЕК МЕТАЛЛИЧЕСКИЕ ДЛЯ МОНТАЖА ГИПСОВЫХ ПЕРЕГОРОДОК И ПОДВЕСНЫХ ПОТОЛКОВ СТАЛЬНЫЕ, ОЦИНКОВАННЫЕ, МАРКА ПС-6, СЕЧЕНИЕ 100Х50Х0,55 ММ</t>
  </si>
  <si>
    <t>ТСН-2001.1. База. Р.7, о.4, поз.8</t>
  </si>
  <si>
    <t>6,3</t>
  </si>
  <si>
    <t>1.7-4-24</t>
  </si>
  <si>
    <t>ПРОФИЛИ МЕТАЛЛИЧЕСКИЕ ДЛЯ МОНТАЖА ГИПСОВЫХ ПЕРЕГОРОДОК И ПОДВЕСНЫХ ПОТОЛКОВ СТАЛЬНЫЕ, ОЦИНКОВАННЫЕ, МАРКА ПУ-2, ПРОФИЛЬ УГЛОВОЙ, СЕЧЕНИЕ 31Х31Х0,55 ММ</t>
  </si>
  <si>
    <t>ТСН-2001.1. База. Р.7, о.4, поз.24</t>
  </si>
  <si>
    <t>6,4</t>
  </si>
  <si>
    <t>1.1-1-567</t>
  </si>
  <si>
    <t>ЛИСТЫ ГИПСОКАРТОННЫЕ</t>
  </si>
  <si>
    <t>ТСН-2001.1. База. Р.1, о.1, поз.567</t>
  </si>
  <si>
    <t>6,5</t>
  </si>
  <si>
    <t>1.1-1-887</t>
  </si>
  <si>
    <t>ПЛИТЫ МИНЕРАЛОВАТНЫЕ</t>
  </si>
  <si>
    <t>м3</t>
  </si>
  <si>
    <t>ТСН-2001.1. База. Р.1, о.1, поз.887</t>
  </si>
  <si>
    <t>7</t>
  </si>
  <si>
    <t>3.10-71-4</t>
  </si>
  <si>
    <t>УСТРОЙСТВО ДОПОЛНИТЕЛЬНОГО СЛОЯ ИЗ ГИПСОКАРТОННЫХ ЛИСТОВ С МЕТАЛЛИЧЕСКИМ КАРКАСОМ</t>
  </si>
  <si>
    <t>ТСН-2001.3. База. Сб.10, т.71, поз.4</t>
  </si>
  <si>
    <t>7,1</t>
  </si>
  <si>
    <t>8</t>
  </si>
  <si>
    <t>3.15-104-1</t>
  </si>
  <si>
    <t>ЗАДЕЛКА СТЫКОВ  ГИПСОКАРТОННЫХ ЛИСТОВ</t>
  </si>
  <si>
    <t>ТСН-2001.3. База. Сб.15, т.104, поз.1</t>
  </si>
  <si>
    <t>ТСН-2001.3-15. 15-91-3, 15-91-4, 15-92...15-115</t>
  </si>
  <si>
    <t>ТСН-2001.3-15-9</t>
  </si>
  <si>
    <t>8,1</t>
  </si>
  <si>
    <t>1.3-2-49</t>
  </si>
  <si>
    <t>СМЕСИ СУХИЕ 'ФУГЕНФЮЛЛЕР', ГИПСОВЫЕ</t>
  </si>
  <si>
    <t>кг</t>
  </si>
  <si>
    <t>ТСН-2001.1. База. Р.3, о.2, поз.49</t>
  </si>
  <si>
    <t>9</t>
  </si>
  <si>
    <t>3.15-29-1</t>
  </si>
  <si>
    <t>УСТРОЙСТВО ПОДВЕСНЫХ ПОТОЛКОВ ИЗ ДЕКОРАТИВНО-АКУСТИЧЕСКИХ ПЛИТ ПО ГОТОВОМУ КАРКАСУ С УСТАНОВКОЙ НАПРАВЛЯЮЩИХ ИЗ АЛЮМИНИЕВОГО ПРОФИЛЯ И ДЕТАЛЕЙ КРЕПЛЕНИЯ</t>
  </si>
  <si>
    <t>ТСН-2001.3. База. Сб.15, т.29, поз.1</t>
  </si>
  <si>
    <t>ТСН-2001.3-15. 15-25...15-29</t>
  </si>
  <si>
    <t>ТСН-2001.3-15-5</t>
  </si>
  <si>
    <t>9,1</t>
  </si>
  <si>
    <t>1.1-1-863</t>
  </si>
  <si>
    <t>КОМПЛЕКТУЮЩИЕ К ПОДВЕСНЫМ ПОТОЛКАМ, ТИП 'АРМСТРОНГ'</t>
  </si>
  <si>
    <t>компл.</t>
  </si>
  <si>
    <t>ТСН-2001.1. База. Р.1, о.1, поз.863</t>
  </si>
  <si>
    <t>9,2</t>
  </si>
  <si>
    <t>1.1-1-862</t>
  </si>
  <si>
    <t>ПЛИТЫ АКУСТИЧЕСКИЕ, МАРКА 'АРМСТРОНГ', ТИП 'BAIKAL'</t>
  </si>
  <si>
    <t>ТСН-2001.1. База. Р.1, о.1, поз.862</t>
  </si>
  <si>
    <t>10</t>
  </si>
  <si>
    <t>6.62-31-1</t>
  </si>
  <si>
    <t>РАСЧИСТКА ПОВЕРХНОСТЕЙ ОТ СТАРЫХ ПОКРАСОК (ШПАТЕЛЕМ, ЩЕТКАМИ И Т.Д.)</t>
  </si>
  <si>
    <t>ТСН-2001.6. База. Сб.62, т.31, поз.1</t>
  </si>
  <si>
    <t>ТСН-2001.6-62. 62-31...62-41</t>
  </si>
  <si>
    <t>ТСН-2001.6-62-13</t>
  </si>
  <si>
    <t>11</t>
  </si>
  <si>
    <t>3.15-165-1</t>
  </si>
  <si>
    <t>ОБРАБОТКА ПОВЕРХНОСТЕЙ СТЕН ГРУНТОВКОЙ ГЛУБОКОГО ПРОНИКНОВЕНИЯ ВНУТРИ ПОМЕЩЕНИЯ</t>
  </si>
  <si>
    <t>ТСН-2001.3. Доп.20. Сб.15, т.165, поз.1</t>
  </si>
  <si>
    <t>ТСН-2001.3-15. 15-164, 15-165 (доп. 20)</t>
  </si>
  <si>
    <t>ТСН-2001.3-15-28</t>
  </si>
  <si>
    <t>11,1</t>
  </si>
  <si>
    <t>1.1-1-1855</t>
  </si>
  <si>
    <t>ГРУНТОВКА НА ОСНОВЕ МАЛОЩЕЛОЧНЫХ СОЕДИНЕНИЙ КРЕМНЕВОЙ КИСЛОТЫ ДЛЯ ГЛУБОКОГО ПРОНИКНОВЕНИЯ В ОСНОВАНИЕ</t>
  </si>
  <si>
    <t>ТСН-2001.1. Доп.21. Р.1, о.1, поз.1855</t>
  </si>
  <si>
    <t>12</t>
  </si>
  <si>
    <t>3.15-96-9</t>
  </si>
  <si>
    <t>ШПАТЛЕВКА И  ОКРАСКА  СТЕН</t>
  </si>
  <si>
    <t>ТСН-2001.3. База. Сб.15, т.96, поз.9</t>
  </si>
  <si>
    <t>12,1</t>
  </si>
  <si>
    <t>1.1-1-1478</t>
  </si>
  <si>
    <t>ШПАТЛЕВКА ВОДНО-ДИСПЕРСИОННАЯ АКРИЛОВАЯ</t>
  </si>
  <si>
    <t>ТСН-2001.1. База. Р.1, о.1, поз.1478</t>
  </si>
  <si>
    <t>12,2</t>
  </si>
  <si>
    <t>1.1-1-2180</t>
  </si>
  <si>
    <t>КРАСКИ ВОДНО-ДИСПЕРСИОННЫЕ ДЛЯ ВНУТРЕННИХ РАБОТ</t>
  </si>
  <si>
    <t>ТСН-2001.1. База. Р.1, о.1, поз.2180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</si>
  <si>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</si>
  <si>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</si>
  <si>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</si>
  <si>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</si>
  <si>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</si>
  <si>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</si>
  <si>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</si>
  <si>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</si>
  <si>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</si>
  <si>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</si>
  <si>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</si>
  <si>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</si>
  <si>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</si>
  <si>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</si>
  <si>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</si>
  <si>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</si>
  <si>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</si>
  <si>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</si>
  <si>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</si>
  <si>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</si>
  <si>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</si>
  <si>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</si>
  <si>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</si>
  <si>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</si>
  <si>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</si>
  <si>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</si>
  <si>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</si>
  <si>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</si>
  <si>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</si>
  <si>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</si>
  <si>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</si>
  <si>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</si>
  <si>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</si>
  <si>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</si>
  <si>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</si>
  <si>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</si>
  <si>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6.61-26-2</t>
  </si>
  <si>
    <t>ОТБИВКА ШТУКАТУРКИ ПО КИРПИЧУ И БЕТОНУ СТЕН, ПОТОЛКОВ ПЛОЩАДЬЮ БОЛЕЕ 5 М2</t>
  </si>
  <si>
    <t>ТСН-2001.6. База. Сб.61, т.26, поз.2</t>
  </si>
  <si>
    <t>ТСН-2001.6-61. 61-26</t>
  </si>
  <si>
    <t>ТСН-2001.6-61-3</t>
  </si>
  <si>
    <t>3.15-52-7</t>
  </si>
  <si>
    <t>ПРОСТОЕ ОШТУКАТУРИВАНИЕ СТЕН ЦЕМЕНТНЫМ РАСТВОРОМ ПО КАМНЮ И БЕТОНУ ВНУТРИ ЗДАНИЙ</t>
  </si>
  <si>
    <t>ТСН-2001.3. База. Сб.15, т.52, поз.7</t>
  </si>
  <si>
    <t>ТСН-2001.3-15. 15-51...15-81</t>
  </si>
  <si>
    <t>ТСН-2001.3-15-7</t>
  </si>
  <si>
    <t>2,1</t>
  </si>
  <si>
    <t>1.3-2-24</t>
  </si>
  <si>
    <t>СМЕСИ СУХИЕ ШТУКАТУРНЫЕ ЦЕМЕНТНО-ПЕСЧАНЫЕ ДЛЯ ВНУТРЕННИХ И НАРУЖНЫХ РАБОТ, БЕЗДОБАВОЧНЫЕ: В12,5 (М150), F50, КРУПНОСТЬ ЗАПОЛНИТЕЛЯ НЕ БОЛЕЕ 0,5 ММ</t>
  </si>
  <si>
    <t>ТСН-2001.1. Доп.22. Р.3, о.2, поз.24</t>
  </si>
  <si>
    <t>2,2</t>
  </si>
  <si>
    <t>1.3-2-4</t>
  </si>
  <si>
    <t>РАСТВОРЫ ЦЕМЕНТНЫЕ, МАРКА 75</t>
  </si>
  <si>
    <t>ТСН-2001.1. Доп.14. Р.3, о.2, поз.4</t>
  </si>
  <si>
    <t>3.15-96-1</t>
  </si>
  <si>
    <t>ПРОСТАЯ ОКРАСКА СТЕН ПО ШТУКАТУРКЕ</t>
  </si>
  <si>
    <t>ТСН-2001.3. База. Сб.15, т.96, поз.1</t>
  </si>
  <si>
    <t>1.1-1-1487</t>
  </si>
  <si>
    <t>ШПАТЛЕВКА МАСЛЯНО-КЛЕЕВАЯ УНИВЕРСАЛЬНАЯ</t>
  </si>
  <si>
    <t>ТСН-2001.1. База. Р.1, о.1, поз.1487</t>
  </si>
  <si>
    <t>1.1-1-438</t>
  </si>
  <si>
    <t>КРАСКИ ВОДНО-ДИСПЕРСИОННЫЕ</t>
  </si>
  <si>
    <t>ТСН-2001.1. База. Р.1, о.1, поз.438</t>
  </si>
  <si>
    <t>3.7-60-4</t>
  </si>
  <si>
    <t>ДЕМОНТАЖ МЕТАЛЛИЧЕСКИХ ОГРАЖДЕНИЙ БЕЗ ПОРУЧНЯ</t>
  </si>
  <si>
    <t>ТСН-2001.3. База. Сб.7, т.60, поз.4</t>
  </si>
  <si>
    <t>*0,6</t>
  </si>
  <si>
    <t>ТСН-2001.3-7. 7-54-4...7-54-12, 7-55...7-63</t>
  </si>
  <si>
    <t>ТСН-2001.3-7-7</t>
  </si>
  <si>
    <t>6.63-7-2</t>
  </si>
  <si>
    <t>РАЗБОРКА ОБЛИЦОВКИ СТЕН ИЗ ГРАНИТНЫХ ПЛИТ</t>
  </si>
  <si>
    <t>ТСН-2001.6. База. Сб.63, т.7, поз.2</t>
  </si>
  <si>
    <t>ТСН-2001.6-63. 63-7</t>
  </si>
  <si>
    <t>ТСН-2001.6-63-3</t>
  </si>
  <si>
    <t>3.15-25-1</t>
  </si>
  <si>
    <t>ОБЛИЦОВКА СТУПЕНЕЙ И ПОДСТУПЕНКОВ ГРАНИТНЫМИ ПЛИТАМИ</t>
  </si>
  <si>
    <t>ТСН-2001.3. База. Сб.15, т.25, поз.1</t>
  </si>
  <si>
    <t>1.7-3-65</t>
  </si>
  <si>
    <t>ДИСК ОТРЕЗНОЙ С АЛМАЗНЫМ ПОКРЫТИЕМ 'HILTI' DC-D C1, ДИАМЕТР 125 ММ</t>
  </si>
  <si>
    <t>шт.</t>
  </si>
  <si>
    <t>ТСН-2001.1. База. Р.7, о.3, поз.65</t>
  </si>
  <si>
    <t>1.11-1-264</t>
  </si>
  <si>
    <t>ПЛИТЫ ОБЛИЦОВОЧНЫЕ ГРАНИТНЫЕ, ТОЛЩИНА 30 ММ</t>
  </si>
  <si>
    <t>ТСН-2001.1. База. Р.11, о.1, поз.264</t>
  </si>
  <si>
    <t>УСТАНОВКА МЕТАЛЛИЧЕСКИХ ОГРАЖДЕНИЙ БЕЗ ПОРУЧНЯ- БЕЗ СТОИМОСТИ МАТЕРИАЛА</t>
  </si>
  <si>
    <t>ИТОГ1</t>
  </si>
  <si>
    <t>Итого</t>
  </si>
  <si>
    <t>ИТОГ2</t>
  </si>
  <si>
    <t>НДС 18 %</t>
  </si>
  <si>
    <t>ИТОГ3</t>
  </si>
  <si>
    <t>ИТОГО С НДС</t>
  </si>
  <si>
    <t>Уровень цен</t>
  </si>
  <si>
    <t>Сборник индексов</t>
  </si>
  <si>
    <t>ТСН-2001 ремонт</t>
  </si>
  <si>
    <t>_OBSM_</t>
  </si>
  <si>
    <t>9999990008</t>
  </si>
  <si>
    <t>ТРУДОЗАТРАТЫ РАБОЧИХ (ЭСН)</t>
  </si>
  <si>
    <t>чел.-ч.</t>
  </si>
  <si>
    <t>0.0-0-0</t>
  </si>
  <si>
    <t>МАССА МУСОРА</t>
  </si>
  <si>
    <t>2.0-0-0</t>
  </si>
  <si>
    <t>СТОИМОСТЬ ПРОЧИХ МАШИН (ЭСН)</t>
  </si>
  <si>
    <t>руб.</t>
  </si>
  <si>
    <t>СТОИМОСТЬ ПРОЧИХ МАТЕРИАЛОВ (ЭСН)</t>
  </si>
  <si>
    <t>2.1-30-56</t>
  </si>
  <si>
    <t>ТСН-2001.2. База. п.1-30-56 (309101)</t>
  </si>
  <si>
    <t>ШУРУПОВЕРТЫ</t>
  </si>
  <si>
    <t>маш.-ч</t>
  </si>
  <si>
    <t>2.1-30-6</t>
  </si>
  <si>
    <t>ТСН-2001.2. База. п.1-30-6 (303701)</t>
  </si>
  <si>
    <t>ДРЕЛИ ЭЛЕКТРИЧЕСКИЕ</t>
  </si>
  <si>
    <t>1.1-1-238</t>
  </si>
  <si>
    <t>ТСН-2001.1. База. Р.1, о.1, поз.238</t>
  </si>
  <si>
    <t>ДЮБЕЛИ ПЛАСТМАССОВЫЕ</t>
  </si>
  <si>
    <t>1.1-1-2494</t>
  </si>
  <si>
    <t>ТСН-2001.1. База. Р.1, о.1, поз.2494</t>
  </si>
  <si>
    <t>ШУРУПЫ - САМОРЕЗЫ, РАЗМЕР 3,5Х45 ММ</t>
  </si>
  <si>
    <t>1.1-1-1003</t>
  </si>
  <si>
    <t>ТСН-2001.1. База. Р.1, о.1, поз.1003</t>
  </si>
  <si>
    <t>РЕЗИНА ТЕХНИЧЕСКАЯ ПРЕССОВАННАЯ</t>
  </si>
  <si>
    <t>1.1-1-1092</t>
  </si>
  <si>
    <t>ТСН-2001.1. База. Р.1, о.1, поз.1092</t>
  </si>
  <si>
    <t>СТАЛЬ ПОЛОСОВАЯ, МАРКА СТ1СП - СТ6СП, СПОКОЙНАЯ</t>
  </si>
  <si>
    <t>1.1-1-117</t>
  </si>
  <si>
    <t>ВИНТЫ САМОНАРЕЗАЮЩИЕ ОЦИНКОВАННЫЕ, МАРКА СМ1 - 35, ДЛИНА 35 ММ</t>
  </si>
  <si>
    <t>1.1-1-181</t>
  </si>
  <si>
    <t>ТСН-2001.1. База. Р.1, о.1, поз.181</t>
  </si>
  <si>
    <t>ДИСПЕРСИЯ ПОЛИВИНИЛАЦЕТАТНАЯ, ГОМОПОЛИМЕРНАЯ, ГРУБОДИСПЕРСНАЯ, ПЛАСТИФИЦИРОВАННАЯ, (ЭМУЛЬСИЯ ПОЛИВИНИЛАЦЕТАТНАЯ), МАРКА ДБ</t>
  </si>
  <si>
    <t>1.1-1-237</t>
  </si>
  <si>
    <t>ТСН-2001.1. База. Р.1, о.1, поз.237</t>
  </si>
  <si>
    <t>ДЮБЕЛИ С ПАТРОНАМИ</t>
  </si>
  <si>
    <t>1.1-1-395</t>
  </si>
  <si>
    <t>КЛЕЙ МАСТИКА, КН-3</t>
  </si>
  <si>
    <t>1.1-1-656</t>
  </si>
  <si>
    <t>ТСН-2001.1. База. Р.1, о.1, поз.656</t>
  </si>
  <si>
    <t>МИТКАЛЬ (СЕРПЯНКА)</t>
  </si>
  <si>
    <t>1.1-1-57</t>
  </si>
  <si>
    <t>ТСН-2001.1. База. Р.1, о.1, поз.57</t>
  </si>
  <si>
    <t>БОЛТЫ СТРОИТЕЛЬНЫЕ ЧЕРНЫЕ С ГАЙКАМИ И ШАЙБАМИ (10Х100ММ)</t>
  </si>
  <si>
    <t>2.1-18-7</t>
  </si>
  <si>
    <t>ТСН-2001.2. База. п.1-18-7 (183001)</t>
  </si>
  <si>
    <t>АВТОМОБИЛИ ГРУЗОВЫЕ БОРТОВЫЕ, ГРУЗОПОДЪЕМНОСТЬ ДО 5 Т</t>
  </si>
  <si>
    <t>2.1-30-90</t>
  </si>
  <si>
    <t>ТСН-2001.2. Доп.9. п.1-30-90 (302501)</t>
  </si>
  <si>
    <t>ДРЕЛИ-МИКСЕРЫ ДЛЯ ПЕРЕМЕШИВАНИЯ СТРОИТЕЛЬНЫХ МАТЕРИАЛОВ ФИРМЫ "INOTEC PROTOOL", МАКСИМАЛЬНАЯ СКОРОСТЬ 650 ОБ/МИН</t>
  </si>
  <si>
    <t>2.1-6-33</t>
  </si>
  <si>
    <t>ТСН-2001.2. База. п.1-6-33 (067501)</t>
  </si>
  <si>
    <t>РАСТВОРОНАСОСЫ, ПРОИЗВОДИТЕЛЬНОСТЬ ДО 1 М3/Ч</t>
  </si>
  <si>
    <t>1.1-1-1029</t>
  </si>
  <si>
    <t>ТСН-2001.1. База. Р.1, о.1, поз.1029</t>
  </si>
  <si>
    <t>СЕТКА ПРОВОЛОЧНАЯ ШТУКАТУРНАЯ ТКАНАЯ, КВАДРАТ 5Х5 ММ, ТОЛЩИНА 1,6 ММ</t>
  </si>
  <si>
    <t>2.1-30-45</t>
  </si>
  <si>
    <t>ТСН-2001.2. База. п.1-30-45 (307701)</t>
  </si>
  <si>
    <t>СТАНКИ КАМНЕРЕЗНЫЕ УНИВЕРСАЛЬНЫЕ</t>
  </si>
  <si>
    <t>1.3-2-6</t>
  </si>
  <si>
    <t>ТСН-2001.1. Доп.14. Р.3, о.2, поз.6</t>
  </si>
  <si>
    <t>РАСТВОРЫ ЦЕМЕНТНЫЕ, МАРКА 150</t>
  </si>
  <si>
    <t>2385120000</t>
  </si>
  <si>
    <t>КЛЕЙ "БУСТИЛАТ"</t>
  </si>
  <si>
    <t>5771040000</t>
  </si>
  <si>
    <t>ЛИНОЛЕУМ НА ТЕПЛОЗВУКОИЗОЛИРУЮЩЕЙ ОСНОВЕ</t>
  </si>
  <si>
    <t>5361730000</t>
  </si>
  <si>
    <t>ПЛИНТУСЫ ДЕРЕВЯННЫЕ</t>
  </si>
  <si>
    <t>5284510000</t>
  </si>
  <si>
    <t>ПРОФИЛИ ХОЛОДНОГНУТЫЕ ИЗ ОЦИНКОВАННОЙ СТАЛИ ТОЛЩИНОЙ 0,6 ММ - ПН</t>
  </si>
  <si>
    <t>ПРОФИЛИ ХОЛОДНОГНУТЫЕ ИЗ ОЦИНКОВАННОЙ СТАЛИ ТОЛЩИНОЙ 0,6 ММ - ПС</t>
  </si>
  <si>
    <t>ПРОФИЛИ ХОЛОДНОГНУТЫЕ ИЗ ОЦИНКОВАННОЙ СТАЛИ ТОЛЩИНОЙ 0,6 ММ-ПУ2</t>
  </si>
  <si>
    <t>5742130000</t>
  </si>
  <si>
    <t>5762903000</t>
  </si>
  <si>
    <t>ПЛИТЫ ТЕПЛОИЗОЛЯЦИОННЫЕ ИЗ МИНЕРАЛЬНОЙ ВАТЫ НА СИНТЕТИЧЕСКОМ СВЯЗУЮЩЕМ М-125</t>
  </si>
  <si>
    <t>2312940000</t>
  </si>
  <si>
    <t>ШПАТЛЕВКА УНИВЕРСАЛЬНАЯ</t>
  </si>
  <si>
    <t>5262120000</t>
  </si>
  <si>
    <t>КОМПЛЕКТУЮЩИЕ К ПОДВЕСНЫХ ПОТОЛКАМ ТИПА "АРМСТРОНГ"</t>
  </si>
  <si>
    <t>5767710000</t>
  </si>
  <si>
    <t>ПЛИТЫ ДЕКОРАТИВНО-АКУСТИЧЕСКИЕ</t>
  </si>
  <si>
    <t>2313332000</t>
  </si>
  <si>
    <t>ГРУНТОВКА ГЛУБОКОГО ПРОНИКНОВЕНИЯ</t>
  </si>
  <si>
    <t>2322000000</t>
  </si>
  <si>
    <t>ПИГМЕНТЫ ЦВЕТНЫЕ</t>
  </si>
  <si>
    <t>2388410000</t>
  </si>
  <si>
    <t>КРАСКИ ВОДНО-ДИСПЕРСИОННЫЕ ПОЛИВИНИЛАЦЕТАТНЫЕ</t>
  </si>
  <si>
    <t>0131000000</t>
  </si>
  <si>
    <t>ВОДА</t>
  </si>
  <si>
    <t>5745120000</t>
  </si>
  <si>
    <t>СМЕСИ СУХИЕ ДЛЯ ШТУКАТУРНЫХ РАБОТ</t>
  </si>
  <si>
    <t>5745510000</t>
  </si>
  <si>
    <t>РАСТВОРЫ ТЯЖЕЛЫЕ ЦЕМЕНТНЫЕ МАРКИ 75</t>
  </si>
  <si>
    <t>5262420000</t>
  </si>
  <si>
    <t>ЛЕСТНИЦЫ, КОСОУРЫ, ПЛОЩАДКИ, ОГРАЖДЕНИЯ</t>
  </si>
  <si>
    <t>5733110000</t>
  </si>
  <si>
    <t>ЦЕМЕНТ</t>
  </si>
  <si>
    <t>3971790000</t>
  </si>
  <si>
    <t>ДИСКИ С АЛМАЗНЫМ ПОКРЫТИЕМ</t>
  </si>
  <si>
    <t>5714310000</t>
  </si>
  <si>
    <t>ПЛИТЫ ОБЛИЦОВОЧНЫЕ ГРАНИТНЫЕ</t>
  </si>
  <si>
    <t>"СОГЛАСОВАНО"</t>
  </si>
  <si>
    <t>"УТВЕРЖДАЮ"</t>
  </si>
  <si>
    <t>Форма № 1а</t>
  </si>
  <si>
    <t>"_____"________________ 2013 г.</t>
  </si>
  <si>
    <t>Генеральный директор, ОАО "МДЦМП Марьино"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</si>
  <si>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</si>
  <si>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</si>
  <si>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</si>
  <si>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</si>
  <si>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</si>
  <si>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</si>
  <si>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</si>
  <si>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</si>
  <si>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</si>
  <si>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</si>
  <si>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</si>
  <si>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</si>
  <si>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</si>
  <si>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</si>
  <si>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</si>
  <si>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</si>
  <si>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</si>
  <si>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</si>
  <si>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 xml:space="preserve">Составлен(а) в уровне текущих (прогнозных) цен ТСН-2001 ремонт апрель 2013 года 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</si>
  <si>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</si>
  <si>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</si>
  <si>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</si>
  <si>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</si>
  <si>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</si>
  <si>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</si>
  <si>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</si>
  <si>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</si>
  <si>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МР</t>
  </si>
  <si>
    <t>НР и СП от ЗПМ</t>
  </si>
  <si>
    <t xml:space="preserve">Составил   </t>
  </si>
  <si>
    <t>[должность,подпись(инициалы,фамилия)]</t>
  </si>
  <si>
    <t xml:space="preserve">Проверил   </t>
  </si>
  <si>
    <t>Текущий ремонт электрощитовой (помещение № 113)</t>
  </si>
  <si>
    <t>Текущий ремонт входной группы (со стороны ул. Люблинская) здания МДЦМП Марьино</t>
  </si>
  <si>
    <t>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t>
  </si>
  <si>
    <t>Приложение № 1                                                                                                                                        к договору подряда № ______ от ____________ 2013 г.</t>
  </si>
  <si>
    <t>МДЦМП Марьино, г.Москва, ул. Люблинская, дом 151</t>
  </si>
  <si>
    <t xml:space="preserve">Текущий ремонт помещения IX (вход 2, 1 этаж)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</si>
</sst>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#,##0.00####;[Red]\-\ #,##0.00####"/>
    <numFmt numFmtId="174" formatCode="#,##0.00;[Red]\-\ #,##0.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7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173" fontId="12" fillId="0" borderId="0" xfId="0" applyNumberFormat="1" applyFont="1" applyAlignment="1">
      <alignment horizontal="right"/>
    </xf>
    <xf numFmtId="174" fontId="12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4" fontId="20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74" fontId="2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74" fontId="12" fillId="0" borderId="0" xfId="0" applyNumberFormat="1" applyFont="1" applyAlignment="1">
      <alignment horizontal="right"/>
    </xf>
    <xf numFmtId="17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17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9"/>
  <sheetViews>
    <sheetView zoomScale="73" zoomScaleNormal="73" zoomScalePageLayoutView="0" workbookViewId="0" topLeftCell="A1">
      <selection activeCell="A19" sqref="A19:K19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9" max="10" width="12.7109375" style="0" customWidth="1"/>
    <col min="11" max="11" width="14.8515625" style="0" customWidth="1"/>
    <col min="15" max="30" width="0" style="0" hidden="1" customWidth="1"/>
    <col min="31" max="31" width="149.140625" style="0" hidden="1" customWidth="1"/>
    <col min="32" max="32" width="113.140625" style="0" hidden="1" customWidth="1"/>
    <col min="33" max="33" width="0" style="0" hidden="1" customWidth="1"/>
    <col min="34" max="34" width="97.140625" style="0" hidden="1" customWidth="1"/>
    <col min="35" max="36" width="0" style="0" hidden="1" customWidth="1"/>
  </cols>
  <sheetData>
    <row r="1" spans="1:11" ht="14.25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349</v>
      </c>
    </row>
    <row r="2" spans="1:11" ht="53.25" customHeight="1">
      <c r="A2" s="9"/>
      <c r="B2" s="9"/>
      <c r="C2" s="9"/>
      <c r="D2" s="46" t="s">
        <v>387</v>
      </c>
      <c r="E2" s="46"/>
      <c r="F2" s="46"/>
      <c r="G2" s="46"/>
      <c r="H2" s="46"/>
      <c r="I2" s="46"/>
      <c r="J2" s="46"/>
      <c r="K2" s="46"/>
    </row>
    <row r="3" spans="1:11" ht="16.5">
      <c r="A3" s="11"/>
      <c r="B3" s="73" t="s">
        <v>347</v>
      </c>
      <c r="C3" s="73"/>
      <c r="D3" s="73"/>
      <c r="E3" s="73"/>
      <c r="F3" s="10"/>
      <c r="G3" s="73" t="s">
        <v>348</v>
      </c>
      <c r="H3" s="73"/>
      <c r="I3" s="73"/>
      <c r="J3" s="73"/>
      <c r="K3" s="73"/>
    </row>
    <row r="4" spans="1:11" ht="14.25">
      <c r="A4" s="10"/>
      <c r="B4" s="59"/>
      <c r="C4" s="59"/>
      <c r="D4" s="59"/>
      <c r="E4" s="59"/>
      <c r="F4" s="10"/>
      <c r="G4" s="59" t="s">
        <v>351</v>
      </c>
      <c r="H4" s="59"/>
      <c r="I4" s="59"/>
      <c r="J4" s="59"/>
      <c r="K4" s="59"/>
    </row>
    <row r="5" spans="1:11" ht="14.25">
      <c r="A5" s="10"/>
      <c r="B5" s="12"/>
      <c r="C5" s="12"/>
      <c r="D5" s="12"/>
      <c r="E5" s="12"/>
      <c r="F5" s="10"/>
      <c r="G5" s="12"/>
      <c r="H5" s="12"/>
      <c r="I5" s="12"/>
      <c r="J5" s="12"/>
      <c r="K5" s="12"/>
    </row>
    <row r="6" spans="1:11" ht="14.25">
      <c r="A6" s="10"/>
      <c r="B6" s="12"/>
      <c r="C6" s="12"/>
      <c r="D6" s="12"/>
      <c r="E6" s="12"/>
      <c r="F6" s="10"/>
      <c r="G6" s="12"/>
      <c r="H6" s="12"/>
      <c r="I6" s="12"/>
      <c r="J6" s="12"/>
      <c r="K6" s="12"/>
    </row>
    <row r="7" spans="1:11" ht="14.25">
      <c r="A7" s="10"/>
      <c r="B7" s="12"/>
      <c r="C7" s="12"/>
      <c r="D7" s="12"/>
      <c r="E7" s="12"/>
      <c r="F7" s="10"/>
      <c r="G7" s="12"/>
      <c r="H7" s="12"/>
      <c r="I7" s="12"/>
      <c r="J7" s="12"/>
      <c r="K7" s="12"/>
    </row>
    <row r="8" spans="1:11" ht="14.25">
      <c r="A8" s="13"/>
      <c r="B8" s="13"/>
      <c r="C8" s="14"/>
      <c r="D8" s="14"/>
      <c r="E8" s="14"/>
      <c r="F8" s="10"/>
      <c r="G8" s="12"/>
      <c r="H8" s="14"/>
      <c r="I8" s="14"/>
      <c r="J8" s="14"/>
      <c r="K8" s="12"/>
    </row>
    <row r="9" spans="1:11" ht="15">
      <c r="A9" s="12"/>
      <c r="B9" s="59" t="str">
        <f>CONCATENATE("______________________ ",IF(Source!AL12&lt;&gt;"",Source!AL12,""))</f>
        <v>______________________ </v>
      </c>
      <c r="C9" s="59"/>
      <c r="D9" s="59"/>
      <c r="E9" s="59"/>
      <c r="F9" s="10"/>
      <c r="G9" s="66" t="str">
        <f>CONCATENATE("______________________ ",IF(Source!AH12&lt;&gt;"",Source!AH12,""))</f>
        <v>______________________ Г.А.Богачев</v>
      </c>
      <c r="H9" s="66"/>
      <c r="I9" s="66"/>
      <c r="J9" s="66"/>
      <c r="K9" s="66"/>
    </row>
    <row r="10" spans="1:11" ht="14.25">
      <c r="A10" s="15"/>
      <c r="B10" s="72" t="s">
        <v>350</v>
      </c>
      <c r="C10" s="72"/>
      <c r="D10" s="72"/>
      <c r="E10" s="72"/>
      <c r="F10" s="10"/>
      <c r="G10" s="72" t="s">
        <v>350</v>
      </c>
      <c r="H10" s="72"/>
      <c r="I10" s="72"/>
      <c r="J10" s="72"/>
      <c r="K10" s="72"/>
    </row>
    <row r="12" spans="1:1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69" t="s">
        <v>388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>
      <c r="A14" s="48" t="s">
        <v>352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31" ht="15.75">
      <c r="A16" s="70" t="str">
        <f>CONCATENATE("ЛОКАЛЬНАЯ СМЕТА  ",Source!F20)</f>
        <v>ЛОКАЛЬНАЯ СМЕТА  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AE16" s="16" t="str">
        <f>CONCATENATE("ЛОКАЛЬНАЯ СМЕТА № ",Source!F20)</f>
        <v>ЛОКАЛЬНАЯ СМЕТА № </v>
      </c>
    </row>
    <row r="17" spans="1:11" ht="12.75">
      <c r="A17" s="63" t="s">
        <v>353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31" ht="63" customHeight="1">
      <c r="A19" s="62" t="str">
        <f>CONCATENATE(CONCATENATE(Source!G20,"на "),IF(Source!G12&lt;&gt;"",Source!G12,Source!F12))</f>
        <v>на 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AE19" s="17" t="str">
        <f>CONCATENATE(CONCATENATE(Source!G20,", "),IF(Source!G12&lt;&gt;"",Source!G12,Source!F12))</f>
        <v>, 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v>
      </c>
    </row>
    <row r="20" spans="1:11" ht="12.75">
      <c r="A20" s="63" t="s">
        <v>354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31" ht="14.25">
      <c r="A22" s="65" t="str">
        <f>CONCATENATE("Основание: чертежи № ",Source!J20)</f>
        <v>Основание: чертежи № 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AE22" s="18" t="str">
        <f>CONCATENATE("Основание: чертежи № ",Source!J20)</f>
        <v>Основание: чертежи № </v>
      </c>
    </row>
    <row r="23" spans="1:1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>
      <c r="A24" s="10"/>
      <c r="B24" s="10"/>
      <c r="C24" s="10"/>
      <c r="D24" s="10"/>
      <c r="E24" s="10"/>
      <c r="F24" s="66" t="s">
        <v>355</v>
      </c>
      <c r="G24" s="66"/>
      <c r="H24" s="66"/>
      <c r="I24" s="67">
        <f>(Source!F164/1000)</f>
        <v>539.74315</v>
      </c>
      <c r="J24" s="68"/>
      <c r="K24" s="42" t="s">
        <v>356</v>
      </c>
    </row>
    <row r="25" spans="1:11" ht="14.25">
      <c r="A25" s="10"/>
      <c r="B25" s="10"/>
      <c r="C25" s="10"/>
      <c r="D25" s="10"/>
      <c r="E25" s="10"/>
      <c r="F25" s="59"/>
      <c r="G25" s="59"/>
      <c r="H25" s="59"/>
      <c r="I25" s="60"/>
      <c r="J25" s="61"/>
      <c r="K25" s="10"/>
    </row>
    <row r="26" spans="1:11" ht="14.25">
      <c r="A26" s="10"/>
      <c r="B26" s="10"/>
      <c r="C26" s="10"/>
      <c r="D26" s="10"/>
      <c r="E26" s="10"/>
      <c r="F26" s="59"/>
      <c r="G26" s="59"/>
      <c r="H26" s="59"/>
      <c r="I26" s="60"/>
      <c r="J26" s="61"/>
      <c r="K26" s="10"/>
    </row>
    <row r="27" spans="1:11" ht="14.25">
      <c r="A27" s="10"/>
      <c r="B27" s="10"/>
      <c r="C27" s="10"/>
      <c r="D27" s="10"/>
      <c r="E27" s="10"/>
      <c r="F27" s="59"/>
      <c r="G27" s="59"/>
      <c r="H27" s="59"/>
      <c r="I27" s="60"/>
      <c r="J27" s="61"/>
      <c r="K27" s="10"/>
    </row>
    <row r="28" spans="1:11" ht="14.25">
      <c r="A28" s="10"/>
      <c r="B28" s="10"/>
      <c r="C28" s="10"/>
      <c r="D28" s="10"/>
      <c r="E28" s="10"/>
      <c r="F28" s="59"/>
      <c r="G28" s="59"/>
      <c r="H28" s="59"/>
      <c r="I28" s="60"/>
      <c r="J28" s="61"/>
      <c r="K28" s="10"/>
    </row>
    <row r="29" spans="1:11" ht="14.25">
      <c r="A29" s="10"/>
      <c r="B29" s="10"/>
      <c r="C29" s="10"/>
      <c r="D29" s="10"/>
      <c r="E29" s="10"/>
      <c r="F29" s="59"/>
      <c r="G29" s="59"/>
      <c r="H29" s="59"/>
      <c r="I29" s="60"/>
      <c r="J29" s="61"/>
      <c r="K29" s="10"/>
    </row>
    <row r="30" spans="1:11" ht="14.25">
      <c r="A30" s="10" t="s">
        <v>370</v>
      </c>
      <c r="B30" s="10"/>
      <c r="C30" s="10"/>
      <c r="D30" s="19"/>
      <c r="E30" s="20"/>
      <c r="F30" s="10"/>
      <c r="G30" s="10"/>
      <c r="H30" s="10"/>
      <c r="I30" s="10"/>
      <c r="J30" s="10"/>
      <c r="K30" s="10"/>
    </row>
    <row r="31" spans="1:11" ht="14.25">
      <c r="A31" s="57" t="s">
        <v>357</v>
      </c>
      <c r="B31" s="57" t="s">
        <v>358</v>
      </c>
      <c r="C31" s="57" t="s">
        <v>359</v>
      </c>
      <c r="D31" s="57" t="s">
        <v>360</v>
      </c>
      <c r="E31" s="57" t="s">
        <v>361</v>
      </c>
      <c r="F31" s="57" t="s">
        <v>362</v>
      </c>
      <c r="G31" s="57" t="s">
        <v>363</v>
      </c>
      <c r="H31" s="57" t="s">
        <v>364</v>
      </c>
      <c r="I31" s="57" t="s">
        <v>365</v>
      </c>
      <c r="J31" s="57" t="s">
        <v>366</v>
      </c>
      <c r="K31" s="21" t="s">
        <v>367</v>
      </c>
    </row>
    <row r="32" spans="1:11" ht="28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22" t="s">
        <v>368</v>
      </c>
    </row>
    <row r="33" spans="1:11" ht="28.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22" t="s">
        <v>369</v>
      </c>
    </row>
    <row r="34" spans="1:11" ht="14.25">
      <c r="A34" s="22">
        <v>1</v>
      </c>
      <c r="B34" s="22">
        <v>2</v>
      </c>
      <c r="C34" s="22">
        <v>3</v>
      </c>
      <c r="D34" s="22">
        <v>4</v>
      </c>
      <c r="E34" s="22">
        <v>5</v>
      </c>
      <c r="F34" s="22">
        <v>6</v>
      </c>
      <c r="G34" s="22">
        <v>7</v>
      </c>
      <c r="H34" s="22">
        <v>8</v>
      </c>
      <c r="I34" s="22">
        <v>9</v>
      </c>
      <c r="J34" s="22">
        <v>10</v>
      </c>
      <c r="K34" s="22">
        <v>11</v>
      </c>
    </row>
    <row r="36" spans="1:31" ht="16.5">
      <c r="A36" s="56" t="str">
        <f>CONCATENATE("Раздел: ",Source!G24)</f>
        <v>Раздел: Текущий ремонт помещения IX (вход 2, 1 этаж) 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AE36" s="23" t="str">
        <f>CONCATENATE("Раздел: ",Source!G24)</f>
        <v>Раздел: Текущий ремонт помещения IX (вход 2, 1 этаж) </v>
      </c>
    </row>
    <row r="37" spans="1:22" ht="14.25">
      <c r="A37" s="24" t="str">
        <f>Source!E28</f>
        <v>1</v>
      </c>
      <c r="B37" s="25" t="str">
        <f>Source!F28</f>
        <v>6.57-3-1</v>
      </c>
      <c r="C37" s="26" t="str">
        <f>Source!G28</f>
        <v>РАЗБОРКА  ПЛИНТУСОВ</v>
      </c>
      <c r="D37" s="28" t="str">
        <f>Source!DW28</f>
        <v>100 м</v>
      </c>
      <c r="E37" s="27">
        <f>Source!I28</f>
        <v>0.5634</v>
      </c>
      <c r="F37" s="30"/>
      <c r="G37" s="29"/>
      <c r="H37" s="27"/>
      <c r="I37" s="27"/>
      <c r="J37" s="31"/>
      <c r="K37" s="31"/>
      <c r="Q37">
        <f>ROUND((Source!DN28/100)*ROUND(Source!CT28*Source!I28/IF(Source!BA28&lt;&gt;0,Source!BA28,1),2),2)</f>
        <v>17.37</v>
      </c>
      <c r="R37">
        <f>Source!X28</f>
        <v>215.84</v>
      </c>
      <c r="S37">
        <f>ROUND((Source!DO28/100)*ROUND(Source!CT28*Source!I28/IF(Source!BA28&lt;&gt;0,Source!BA28,1),2),2)</f>
        <v>11.94</v>
      </c>
      <c r="T37">
        <f>Source!Y28</f>
        <v>131.9</v>
      </c>
      <c r="U37">
        <f>ROUND((175/100)*ROUND(Source!CS28*Source!I28/IF(Source!BS28&lt;&gt;0,Source!BS28,1),2),2)</f>
        <v>0</v>
      </c>
      <c r="V37">
        <f>ROUND((169/100)*ROUND(Source!CS28*Source!I28,2),2)</f>
        <v>0</v>
      </c>
    </row>
    <row r="38" spans="1:11" ht="14.25">
      <c r="A38" s="24"/>
      <c r="B38" s="25"/>
      <c r="C38" s="26" t="s">
        <v>371</v>
      </c>
      <c r="D38" s="28"/>
      <c r="E38" s="27"/>
      <c r="F38" s="30">
        <f>Source!AO28</f>
        <v>38.53</v>
      </c>
      <c r="G38" s="29">
        <f>Source!DG28</f>
      </c>
      <c r="H38" s="27">
        <f>Source!AV28</f>
        <v>1</v>
      </c>
      <c r="I38" s="27">
        <f>IF(Source!BA28&lt;&gt;0,Source!BA28,1)</f>
        <v>13.81</v>
      </c>
      <c r="J38" s="31">
        <f>Source!S28</f>
        <v>299.78</v>
      </c>
      <c r="K38" s="31"/>
    </row>
    <row r="39" spans="1:11" ht="14.25">
      <c r="A39" s="24"/>
      <c r="B39" s="25"/>
      <c r="C39" s="26" t="s">
        <v>372</v>
      </c>
      <c r="D39" s="28" t="s">
        <v>373</v>
      </c>
      <c r="E39" s="27">
        <f>Source!BZ28</f>
        <v>72</v>
      </c>
      <c r="F39" s="30"/>
      <c r="G39" s="29"/>
      <c r="H39" s="27"/>
      <c r="I39" s="27"/>
      <c r="J39" s="31">
        <f>SUM(R37:R38)</f>
        <v>215.84</v>
      </c>
      <c r="K39" s="31"/>
    </row>
    <row r="40" spans="1:11" ht="14.25">
      <c r="A40" s="24"/>
      <c r="B40" s="25"/>
      <c r="C40" s="26" t="s">
        <v>374</v>
      </c>
      <c r="D40" s="28" t="s">
        <v>373</v>
      </c>
      <c r="E40" s="27">
        <f>Source!CA28</f>
        <v>44</v>
      </c>
      <c r="F40" s="30"/>
      <c r="G40" s="29"/>
      <c r="H40" s="27"/>
      <c r="I40" s="27"/>
      <c r="J40" s="31">
        <f>SUM(T37:T39)</f>
        <v>131.9</v>
      </c>
      <c r="K40" s="31"/>
    </row>
    <row r="41" spans="1:11" ht="14.25">
      <c r="A41" s="34"/>
      <c r="B41" s="35"/>
      <c r="C41" s="36" t="s">
        <v>375</v>
      </c>
      <c r="D41" s="37" t="s">
        <v>376</v>
      </c>
      <c r="E41" s="38">
        <f>Source!AQ28</f>
        <v>3.77</v>
      </c>
      <c r="F41" s="39"/>
      <c r="G41" s="40">
        <f>Source!DI28</f>
      </c>
      <c r="H41" s="38">
        <f>Source!AV28</f>
        <v>1</v>
      </c>
      <c r="I41" s="38"/>
      <c r="J41" s="41"/>
      <c r="K41" s="41">
        <f>Source!U28</f>
        <v>2.124018</v>
      </c>
    </row>
    <row r="42" spans="9:16" ht="15">
      <c r="I42" s="53">
        <f>Source!O28+SUM(J39:J40)</f>
        <v>647.52</v>
      </c>
      <c r="J42" s="53"/>
      <c r="K42" s="33">
        <f>IF(Source!I28&lt;&gt;0,ROUND(I42/Source!I28,2),0)</f>
        <v>1149.31</v>
      </c>
      <c r="P42" s="32">
        <f>I42</f>
        <v>647.52</v>
      </c>
    </row>
    <row r="43" spans="1:22" ht="28.5">
      <c r="A43" s="24" t="str">
        <f>Source!E29</f>
        <v>2</v>
      </c>
      <c r="B43" s="25" t="str">
        <f>Source!F29</f>
        <v>6.57-2-5</v>
      </c>
      <c r="C43" s="26" t="str">
        <f>Source!G29</f>
        <v>РАЗБОРКА ПОКРЫТИЙ ИЗ ЛИНОЛЕУМА</v>
      </c>
      <c r="D43" s="28" t="str">
        <f>Source!DW29</f>
        <v>100 м2</v>
      </c>
      <c r="E43" s="27">
        <f>Source!I29</f>
        <v>0.5637</v>
      </c>
      <c r="F43" s="30"/>
      <c r="G43" s="29"/>
      <c r="H43" s="27"/>
      <c r="I43" s="27"/>
      <c r="J43" s="31"/>
      <c r="K43" s="31"/>
      <c r="Q43">
        <f>ROUND((Source!DN29/100)*ROUND(Source!CT29*Source!I29/IF(Source!BA29&lt;&gt;0,Source!BA29,1),2),2)</f>
        <v>60.37</v>
      </c>
      <c r="R43">
        <f>Source!X29</f>
        <v>750.35</v>
      </c>
      <c r="S43">
        <f>ROUND((Source!DO29/100)*ROUND(Source!CT29*Source!I29/IF(Source!BA29&lt;&gt;0,Source!BA29,1),2),2)</f>
        <v>41.5</v>
      </c>
      <c r="T43">
        <f>Source!Y29</f>
        <v>458.55</v>
      </c>
      <c r="U43">
        <f>ROUND((175/100)*ROUND(Source!CS29*Source!I29/IF(Source!BS29&lt;&gt;0,Source!BS29,1),2),2)</f>
        <v>0</v>
      </c>
      <c r="V43">
        <f>ROUND((169/100)*ROUND(Source!CS29*Source!I29,2),2)</f>
        <v>0</v>
      </c>
    </row>
    <row r="44" spans="1:11" ht="14.25">
      <c r="A44" s="24"/>
      <c r="B44" s="25"/>
      <c r="C44" s="26" t="s">
        <v>371</v>
      </c>
      <c r="D44" s="28"/>
      <c r="E44" s="27"/>
      <c r="F44" s="30">
        <f>Source!AO29</f>
        <v>116.41</v>
      </c>
      <c r="G44" s="29" t="str">
        <f>Source!DG29</f>
        <v>*1,15</v>
      </c>
      <c r="H44" s="27">
        <f>Source!AV29</f>
        <v>1</v>
      </c>
      <c r="I44" s="27">
        <f>IF(Source!BA29&lt;&gt;0,Source!BA29,1)</f>
        <v>13.81</v>
      </c>
      <c r="J44" s="31">
        <f>Source!S29</f>
        <v>1042.15</v>
      </c>
      <c r="K44" s="31"/>
    </row>
    <row r="45" spans="1:11" ht="14.25">
      <c r="A45" s="24"/>
      <c r="B45" s="25"/>
      <c r="C45" s="26" t="s">
        <v>372</v>
      </c>
      <c r="D45" s="28" t="s">
        <v>373</v>
      </c>
      <c r="E45" s="27">
        <f>Source!BZ29</f>
        <v>72</v>
      </c>
      <c r="F45" s="30"/>
      <c r="G45" s="29"/>
      <c r="H45" s="27"/>
      <c r="I45" s="27"/>
      <c r="J45" s="31">
        <f>SUM(R43:R44)</f>
        <v>750.35</v>
      </c>
      <c r="K45" s="31"/>
    </row>
    <row r="46" spans="1:11" ht="14.25">
      <c r="A46" s="24"/>
      <c r="B46" s="25"/>
      <c r="C46" s="26" t="s">
        <v>374</v>
      </c>
      <c r="D46" s="28" t="s">
        <v>373</v>
      </c>
      <c r="E46" s="27">
        <f>Source!CA29</f>
        <v>44</v>
      </c>
      <c r="F46" s="30"/>
      <c r="G46" s="29"/>
      <c r="H46" s="27"/>
      <c r="I46" s="27"/>
      <c r="J46" s="31">
        <f>SUM(T43:T45)</f>
        <v>458.55</v>
      </c>
      <c r="K46" s="31"/>
    </row>
    <row r="47" spans="1:11" ht="14.25">
      <c r="A47" s="34"/>
      <c r="B47" s="35"/>
      <c r="C47" s="36" t="s">
        <v>375</v>
      </c>
      <c r="D47" s="37" t="s">
        <v>376</v>
      </c>
      <c r="E47" s="38">
        <f>Source!AQ29</f>
        <v>11.39</v>
      </c>
      <c r="F47" s="39"/>
      <c r="G47" s="40" t="str">
        <f>Source!DI29</f>
        <v>*1,15</v>
      </c>
      <c r="H47" s="38">
        <f>Source!AV29</f>
        <v>1</v>
      </c>
      <c r="I47" s="38"/>
      <c r="J47" s="41"/>
      <c r="K47" s="41">
        <f>Source!U29</f>
        <v>7.383624449999999</v>
      </c>
    </row>
    <row r="48" spans="9:16" ht="15">
      <c r="I48" s="53">
        <f>Source!O29+SUM(J45:J46)</f>
        <v>2251.05</v>
      </c>
      <c r="J48" s="53"/>
      <c r="K48" s="33">
        <f>IF(Source!I29&lt;&gt;0,ROUND(I48/Source!I29,2),0)</f>
        <v>3993.35</v>
      </c>
      <c r="P48" s="32">
        <f>I48</f>
        <v>2251.05</v>
      </c>
    </row>
    <row r="49" spans="1:22" ht="28.5">
      <c r="A49" s="24" t="str">
        <f>Source!E30</f>
        <v>3</v>
      </c>
      <c r="B49" s="25" t="str">
        <f>Source!F30</f>
        <v>3.11-26-1</v>
      </c>
      <c r="C49" s="26" t="str">
        <f>Source!G30</f>
        <v>УСТРОЙСТВО ПОКРЫТИЙ ИЗ  ЛИНОЛЕУМА</v>
      </c>
      <c r="D49" s="28" t="str">
        <f>Source!DW30</f>
        <v>100 м2</v>
      </c>
      <c r="E49" s="27">
        <f>Source!I30</f>
        <v>0.5637</v>
      </c>
      <c r="F49" s="30"/>
      <c r="G49" s="29"/>
      <c r="H49" s="27"/>
      <c r="I49" s="27"/>
      <c r="J49" s="31"/>
      <c r="K49" s="31"/>
      <c r="Q49">
        <f>ROUND((Source!DN30/100)*ROUND(Source!CT30*Source!I30/IF(Source!BA30&lt;&gt;0,Source!BA30,1),2),2)</f>
        <v>306.47</v>
      </c>
      <c r="R49">
        <f>Source!X30</f>
        <v>3621.93</v>
      </c>
      <c r="S49">
        <f>ROUND((Source!DO30/100)*ROUND(Source!CT30*Source!I30/IF(Source!BA30&lt;&gt;0,Source!BA30,1),2),2)</f>
        <v>206.28</v>
      </c>
      <c r="T49">
        <f>Source!Y30</f>
        <v>1790.62</v>
      </c>
      <c r="U49">
        <f>ROUND((175/100)*ROUND(Source!CS30*Source!I30/IF(Source!BS30&lt;&gt;0,Source!BS30,1),2),2)</f>
        <v>18.66</v>
      </c>
      <c r="V49">
        <f>ROUND((169/100)*ROUND(Source!CS30*Source!I30,2),2)</f>
        <v>248.82</v>
      </c>
    </row>
    <row r="50" spans="1:11" ht="14.25">
      <c r="A50" s="24"/>
      <c r="B50" s="25"/>
      <c r="C50" s="26" t="s">
        <v>371</v>
      </c>
      <c r="D50" s="28"/>
      <c r="E50" s="27"/>
      <c r="F50" s="30">
        <f>Source!AO30</f>
        <v>454.58</v>
      </c>
      <c r="G50" s="29" t="str">
        <f>Source!DG30</f>
        <v>*1,15</v>
      </c>
      <c r="H50" s="27">
        <f>Source!AV30</f>
        <v>1</v>
      </c>
      <c r="I50" s="27">
        <f>IF(Source!BA30&lt;&gt;0,Source!BA30,1)</f>
        <v>13.81</v>
      </c>
      <c r="J50" s="31">
        <f>Source!S30</f>
        <v>4069.58</v>
      </c>
      <c r="K50" s="31"/>
    </row>
    <row r="51" spans="1:11" ht="14.25">
      <c r="A51" s="24"/>
      <c r="B51" s="25"/>
      <c r="C51" s="26" t="s">
        <v>377</v>
      </c>
      <c r="D51" s="28"/>
      <c r="E51" s="27"/>
      <c r="F51" s="30">
        <f>Source!AM30</f>
        <v>64.02</v>
      </c>
      <c r="G51" s="29" t="str">
        <f>Source!DE30</f>
        <v>*1,25</v>
      </c>
      <c r="H51" s="27">
        <f>Source!AV30</f>
        <v>1</v>
      </c>
      <c r="I51" s="27">
        <f>IF(Source!BB30&lt;&gt;0,Source!BB30,1)</f>
        <v>7.91</v>
      </c>
      <c r="J51" s="31">
        <f>Source!Q30</f>
        <v>356.82</v>
      </c>
      <c r="K51" s="31"/>
    </row>
    <row r="52" spans="1:11" ht="14.25">
      <c r="A52" s="24"/>
      <c r="B52" s="25"/>
      <c r="C52" s="26" t="s">
        <v>378</v>
      </c>
      <c r="D52" s="28"/>
      <c r="E52" s="27"/>
      <c r="F52" s="30">
        <f>Source!AN30</f>
        <v>15.13</v>
      </c>
      <c r="G52" s="29" t="str">
        <f>Source!DF30</f>
        <v>*1,25</v>
      </c>
      <c r="H52" s="27">
        <f>Source!AV30</f>
        <v>1</v>
      </c>
      <c r="I52" s="27">
        <f>IF(Source!BS30&lt;&gt;0,Source!BS30,1)</f>
        <v>13.81</v>
      </c>
      <c r="J52" s="31">
        <f>Source!R30</f>
        <v>147.23</v>
      </c>
      <c r="K52" s="31"/>
    </row>
    <row r="53" spans="1:11" ht="14.25">
      <c r="A53" s="24"/>
      <c r="B53" s="25"/>
      <c r="C53" s="26" t="s">
        <v>379</v>
      </c>
      <c r="D53" s="28"/>
      <c r="E53" s="27"/>
      <c r="F53" s="30">
        <f>Source!AL30</f>
        <v>0.98</v>
      </c>
      <c r="G53" s="29">
        <f>Source!DD30</f>
      </c>
      <c r="H53" s="27">
        <f>Source!AW30</f>
        <v>1</v>
      </c>
      <c r="I53" s="27">
        <f>IF(Source!BC30&lt;&gt;0,Source!BC30,1)</f>
        <v>4.37</v>
      </c>
      <c r="J53" s="31">
        <f>Source!P30</f>
        <v>2.41</v>
      </c>
      <c r="K53" s="31"/>
    </row>
    <row r="54" spans="1:22" ht="28.5">
      <c r="A54" s="24" t="str">
        <f>Source!E31</f>
        <v>3,1</v>
      </c>
      <c r="B54" s="25" t="str">
        <f>Source!F31</f>
        <v>1.1-1-2409</v>
      </c>
      <c r="C54" s="26" t="str">
        <f>Source!G31</f>
        <v>ЛИНОЛЕУМ ПОЛИВИНИЛХЛОРИДНЫЙ</v>
      </c>
      <c r="D54" s="28" t="str">
        <f>Source!DW31</f>
        <v>м2</v>
      </c>
      <c r="E54" s="27">
        <f>Source!I31</f>
        <v>60.3159</v>
      </c>
      <c r="F54" s="30">
        <f>Source!AK31</f>
        <v>162.24</v>
      </c>
      <c r="G54" s="29"/>
      <c r="H54" s="27">
        <f>Source!AW31</f>
        <v>1</v>
      </c>
      <c r="I54" s="27">
        <f>IF(Source!BC31&lt;&gt;0,Source!BC31,1)</f>
        <v>2.27</v>
      </c>
      <c r="J54" s="31">
        <f>Source!O31</f>
        <v>22213.43</v>
      </c>
      <c r="K54" s="31"/>
      <c r="Q54">
        <f>ROUND((Source!DN31/100)*ROUND(Source!CT31*Source!I31/IF(Source!BA31&lt;&gt;0,Source!BA31,1),2),2)</f>
        <v>0</v>
      </c>
      <c r="R54">
        <f>Source!X31</f>
        <v>0</v>
      </c>
      <c r="S54">
        <f>ROUND((Source!DO31/100)*ROUND(Source!CT31*Source!I31/IF(Source!BA31&lt;&gt;0,Source!BA31,1),2),2)</f>
        <v>0</v>
      </c>
      <c r="T54">
        <f>Source!Y31</f>
        <v>0</v>
      </c>
      <c r="U54">
        <f>ROUND((175/100)*ROUND(Source!CS31*Source!I31/IF(Source!BS31&lt;&gt;0,Source!BS31,1),2),2)</f>
        <v>0</v>
      </c>
      <c r="V54">
        <f>ROUND((169/100)*ROUND(Source!CS31*Source!I31,2),2)</f>
        <v>0</v>
      </c>
    </row>
    <row r="55" spans="1:22" ht="14.25">
      <c r="A55" s="24" t="str">
        <f>Source!E32</f>
        <v>3,2</v>
      </c>
      <c r="B55" s="25" t="str">
        <f>Source!F32</f>
        <v>1.1-1-389</v>
      </c>
      <c r="C55" s="26" t="str">
        <f>Source!G32</f>
        <v>КЛЕЙ ДИСПЕРСНЫЙ, 'АДМ-К'</v>
      </c>
      <c r="D55" s="28" t="str">
        <f>Source!DW32</f>
        <v>т</v>
      </c>
      <c r="E55" s="27">
        <f>Source!I32</f>
        <v>0.028185</v>
      </c>
      <c r="F55" s="30">
        <f>Source!AK32</f>
        <v>43326.77</v>
      </c>
      <c r="G55" s="29"/>
      <c r="H55" s="27">
        <f>Source!AW32</f>
        <v>1</v>
      </c>
      <c r="I55" s="27">
        <f>IF(Source!BC32&lt;&gt;0,Source!BC32,1)</f>
        <v>0.98</v>
      </c>
      <c r="J55" s="31">
        <f>Source!O32</f>
        <v>1196.74</v>
      </c>
      <c r="K55" s="31"/>
      <c r="Q55">
        <f>ROUND((Source!DN32/100)*ROUND(Source!CT32*Source!I32/IF(Source!BA32&lt;&gt;0,Source!BA32,1),2),2)</f>
        <v>0</v>
      </c>
      <c r="R55">
        <f>Source!X32</f>
        <v>0</v>
      </c>
      <c r="S55">
        <f>ROUND((Source!DO32/100)*ROUND(Source!CT32*Source!I32/IF(Source!BA32&lt;&gt;0,Source!BA32,1),2),2)</f>
        <v>0</v>
      </c>
      <c r="T55">
        <f>Source!Y32</f>
        <v>0</v>
      </c>
      <c r="U55">
        <f>ROUND((175/100)*ROUND(Source!CS32*Source!I32/IF(Source!BS32&lt;&gt;0,Source!BS32,1),2),2)</f>
        <v>0</v>
      </c>
      <c r="V55">
        <f>ROUND((169/100)*ROUND(Source!CS32*Source!I32,2),2)</f>
        <v>0</v>
      </c>
    </row>
    <row r="56" spans="1:11" ht="14.25">
      <c r="A56" s="24"/>
      <c r="B56" s="25"/>
      <c r="C56" s="26" t="s">
        <v>372</v>
      </c>
      <c r="D56" s="28" t="s">
        <v>373</v>
      </c>
      <c r="E56" s="27">
        <f>Source!BZ30</f>
        <v>89</v>
      </c>
      <c r="F56" s="30"/>
      <c r="G56" s="29"/>
      <c r="H56" s="27"/>
      <c r="I56" s="27"/>
      <c r="J56" s="31">
        <f>SUM(R49:R55)</f>
        <v>3621.93</v>
      </c>
      <c r="K56" s="31"/>
    </row>
    <row r="57" spans="1:11" ht="14.25">
      <c r="A57" s="24"/>
      <c r="B57" s="25"/>
      <c r="C57" s="26" t="s">
        <v>374</v>
      </c>
      <c r="D57" s="28" t="s">
        <v>373</v>
      </c>
      <c r="E57" s="27">
        <f>Source!CA30</f>
        <v>44</v>
      </c>
      <c r="F57" s="30"/>
      <c r="G57" s="29"/>
      <c r="H57" s="27"/>
      <c r="I57" s="27"/>
      <c r="J57" s="31">
        <f>SUM(T49:T56)</f>
        <v>1790.62</v>
      </c>
      <c r="K57" s="31"/>
    </row>
    <row r="58" spans="1:11" ht="14.25">
      <c r="A58" s="24"/>
      <c r="B58" s="25"/>
      <c r="C58" s="26" t="s">
        <v>380</v>
      </c>
      <c r="D58" s="28" t="s">
        <v>373</v>
      </c>
      <c r="E58" s="27">
        <f>169</f>
        <v>169</v>
      </c>
      <c r="F58" s="30"/>
      <c r="G58" s="29"/>
      <c r="H58" s="27"/>
      <c r="I58" s="27"/>
      <c r="J58" s="31">
        <f>SUM(V49:V57)</f>
        <v>248.82</v>
      </c>
      <c r="K58" s="31"/>
    </row>
    <row r="59" spans="1:11" ht="14.25">
      <c r="A59" s="34"/>
      <c r="B59" s="35"/>
      <c r="C59" s="36" t="s">
        <v>375</v>
      </c>
      <c r="D59" s="37" t="s">
        <v>376</v>
      </c>
      <c r="E59" s="38">
        <f>Source!AQ30</f>
        <v>38.2</v>
      </c>
      <c r="F59" s="39"/>
      <c r="G59" s="40" t="str">
        <f>Source!DI30</f>
        <v>*1,15</v>
      </c>
      <c r="H59" s="38">
        <f>Source!AV30</f>
        <v>1</v>
      </c>
      <c r="I59" s="38"/>
      <c r="J59" s="41"/>
      <c r="K59" s="41">
        <f>Source!U30</f>
        <v>24.763341</v>
      </c>
    </row>
    <row r="60" spans="9:16" ht="15">
      <c r="I60" s="53">
        <f>Source!O30+SUM(J54:J58)</f>
        <v>33500.35</v>
      </c>
      <c r="J60" s="53"/>
      <c r="K60" s="33">
        <f>IF(Source!I30&lt;&gt;0,ROUND(I60/Source!I30,2),0)</f>
        <v>59429.4</v>
      </c>
      <c r="P60" s="32">
        <f>I60</f>
        <v>33500.35</v>
      </c>
    </row>
    <row r="61" spans="1:22" ht="28.5">
      <c r="A61" s="24" t="str">
        <f>Source!E33</f>
        <v>4</v>
      </c>
      <c r="B61" s="25" t="str">
        <f>Source!F33</f>
        <v>3.11-28-7</v>
      </c>
      <c r="C61" s="26" t="str">
        <f>Source!G33</f>
        <v>УСТРОЙСТВО ПЛИНТУСОВ  С КРЕПЛЕНИЕМ К СТЕНАМ ШУРУПАМИ</v>
      </c>
      <c r="D61" s="28" t="str">
        <f>Source!DW33</f>
        <v>100 м</v>
      </c>
      <c r="E61" s="27">
        <f>Source!I33</f>
        <v>0.5634</v>
      </c>
      <c r="F61" s="30"/>
      <c r="G61" s="29"/>
      <c r="H61" s="27"/>
      <c r="I61" s="27"/>
      <c r="J61" s="31"/>
      <c r="K61" s="31"/>
      <c r="Q61">
        <f>ROUND((Source!DN33/100)*ROUND(Source!CT33*Source!I33/IF(Source!BA33&lt;&gt;0,Source!BA33,1),2),2)</f>
        <v>93.75</v>
      </c>
      <c r="R61">
        <f>Source!X33</f>
        <v>1107.94</v>
      </c>
      <c r="S61">
        <f>ROUND((Source!DO33/100)*ROUND(Source!CT33*Source!I33/IF(Source!BA33&lt;&gt;0,Source!BA33,1),2),2)</f>
        <v>63.1</v>
      </c>
      <c r="T61">
        <f>Source!Y33</f>
        <v>547.75</v>
      </c>
      <c r="U61">
        <f>ROUND((175/100)*ROUND(Source!CS33*Source!I33/IF(Source!BS33&lt;&gt;0,Source!BS33,1),2),2)</f>
        <v>0.89</v>
      </c>
      <c r="V61">
        <f>ROUND((169/100)*ROUND(Source!CS33*Source!I33,2),2)</f>
        <v>11.83</v>
      </c>
    </row>
    <row r="62" spans="1:11" ht="14.25">
      <c r="A62" s="24"/>
      <c r="B62" s="25"/>
      <c r="C62" s="26" t="s">
        <v>371</v>
      </c>
      <c r="D62" s="28"/>
      <c r="E62" s="27"/>
      <c r="F62" s="30">
        <f>Source!AO33</f>
        <v>139.13</v>
      </c>
      <c r="G62" s="29" t="str">
        <f>Source!DG33</f>
        <v>*1,15</v>
      </c>
      <c r="H62" s="27">
        <f>Source!AV33</f>
        <v>1</v>
      </c>
      <c r="I62" s="27">
        <f>IF(Source!BA33&lt;&gt;0,Source!BA33,1)</f>
        <v>13.81</v>
      </c>
      <c r="J62" s="31">
        <f>Source!S33</f>
        <v>1244.88</v>
      </c>
      <c r="K62" s="31"/>
    </row>
    <row r="63" spans="1:11" ht="14.25">
      <c r="A63" s="24"/>
      <c r="B63" s="25"/>
      <c r="C63" s="26" t="s">
        <v>377</v>
      </c>
      <c r="D63" s="28"/>
      <c r="E63" s="27"/>
      <c r="F63" s="30">
        <f>Source!AM33</f>
        <v>10.59</v>
      </c>
      <c r="G63" s="29" t="str">
        <f>Source!DE33</f>
        <v>*1,25</v>
      </c>
      <c r="H63" s="27">
        <f>Source!AV33</f>
        <v>1</v>
      </c>
      <c r="I63" s="27">
        <f>IF(Source!BB33&lt;&gt;0,Source!BB33,1)</f>
        <v>7.91</v>
      </c>
      <c r="J63" s="31">
        <f>Source!Q33</f>
        <v>58.99</v>
      </c>
      <c r="K63" s="31"/>
    </row>
    <row r="64" spans="1:11" ht="14.25">
      <c r="A64" s="24"/>
      <c r="B64" s="25"/>
      <c r="C64" s="26" t="s">
        <v>378</v>
      </c>
      <c r="D64" s="28"/>
      <c r="E64" s="27"/>
      <c r="F64" s="30">
        <f>Source!AN33</f>
        <v>0.72</v>
      </c>
      <c r="G64" s="29" t="str">
        <f>Source!DF33</f>
        <v>*1,25</v>
      </c>
      <c r="H64" s="27">
        <f>Source!AV33</f>
        <v>1</v>
      </c>
      <c r="I64" s="27">
        <f>IF(Source!BS33&lt;&gt;0,Source!BS33,1)</f>
        <v>13.81</v>
      </c>
      <c r="J64" s="31">
        <f>Source!R33</f>
        <v>7</v>
      </c>
      <c r="K64" s="31"/>
    </row>
    <row r="65" spans="1:11" ht="14.25">
      <c r="A65" s="24"/>
      <c r="B65" s="25"/>
      <c r="C65" s="26" t="s">
        <v>379</v>
      </c>
      <c r="D65" s="28"/>
      <c r="E65" s="27"/>
      <c r="F65" s="30">
        <f>Source!AL33</f>
        <v>174.38</v>
      </c>
      <c r="G65" s="29">
        <f>Source!DD33</f>
      </c>
      <c r="H65" s="27">
        <f>Source!AW33</f>
        <v>1</v>
      </c>
      <c r="I65" s="27">
        <f>IF(Source!BC33&lt;&gt;0,Source!BC33,1)</f>
        <v>1.03</v>
      </c>
      <c r="J65" s="31">
        <f>Source!P33</f>
        <v>101.19</v>
      </c>
      <c r="K65" s="31"/>
    </row>
    <row r="66" spans="1:22" ht="28.5">
      <c r="A66" s="24" t="str">
        <f>Source!E34</f>
        <v>4,1</v>
      </c>
      <c r="B66" s="25" t="str">
        <f>Source!F34</f>
        <v>1.1-1-289</v>
      </c>
      <c r="C66" s="26" t="str">
        <f>Source!G34</f>
        <v>ПЛИНТУСЫ ПОЛИВИНИЛХЛОРИДНЫЕ</v>
      </c>
      <c r="D66" s="28" t="str">
        <f>Source!DW34</f>
        <v>м</v>
      </c>
      <c r="E66" s="27">
        <f>Source!I34</f>
        <v>59.157000000000004</v>
      </c>
      <c r="F66" s="30">
        <f>Source!AK34</f>
        <v>22.18</v>
      </c>
      <c r="G66" s="29"/>
      <c r="H66" s="27">
        <f>Source!AW34</f>
        <v>1</v>
      </c>
      <c r="I66" s="27">
        <f>IF(Source!BC34&lt;&gt;0,Source!BC34,1)</f>
        <v>1.57</v>
      </c>
      <c r="J66" s="31">
        <f>Source!O34</f>
        <v>2060</v>
      </c>
      <c r="K66" s="31"/>
      <c r="Q66">
        <f>ROUND((Source!DN34/100)*ROUND(Source!CT34*Source!I34/IF(Source!BA34&lt;&gt;0,Source!BA34,1),2),2)</f>
        <v>0</v>
      </c>
      <c r="R66">
        <f>Source!X34</f>
        <v>0</v>
      </c>
      <c r="S66">
        <f>ROUND((Source!DO34/100)*ROUND(Source!CT34*Source!I34/IF(Source!BA34&lt;&gt;0,Source!BA34,1),2),2)</f>
        <v>0</v>
      </c>
      <c r="T66">
        <f>Source!Y34</f>
        <v>0</v>
      </c>
      <c r="U66">
        <f>ROUND((175/100)*ROUND(Source!CS34*Source!I34/IF(Source!BS34&lt;&gt;0,Source!BS34,1),2),2)</f>
        <v>0</v>
      </c>
      <c r="V66">
        <f>ROUND((169/100)*ROUND(Source!CS34*Source!I34,2),2)</f>
        <v>0</v>
      </c>
    </row>
    <row r="67" spans="1:11" ht="14.25">
      <c r="A67" s="24"/>
      <c r="B67" s="25"/>
      <c r="C67" s="26" t="s">
        <v>372</v>
      </c>
      <c r="D67" s="28" t="s">
        <v>373</v>
      </c>
      <c r="E67" s="27">
        <f>Source!BZ33</f>
        <v>89</v>
      </c>
      <c r="F67" s="30"/>
      <c r="G67" s="29"/>
      <c r="H67" s="27"/>
      <c r="I67" s="27"/>
      <c r="J67" s="31">
        <f>SUM(R61:R66)</f>
        <v>1107.94</v>
      </c>
      <c r="K67" s="31"/>
    </row>
    <row r="68" spans="1:11" ht="14.25">
      <c r="A68" s="24"/>
      <c r="B68" s="25"/>
      <c r="C68" s="26" t="s">
        <v>374</v>
      </c>
      <c r="D68" s="28" t="s">
        <v>373</v>
      </c>
      <c r="E68" s="27">
        <f>Source!CA33</f>
        <v>44</v>
      </c>
      <c r="F68" s="30"/>
      <c r="G68" s="29"/>
      <c r="H68" s="27"/>
      <c r="I68" s="27"/>
      <c r="J68" s="31">
        <f>SUM(T61:T67)</f>
        <v>547.75</v>
      </c>
      <c r="K68" s="31"/>
    </row>
    <row r="69" spans="1:11" ht="14.25">
      <c r="A69" s="24"/>
      <c r="B69" s="25"/>
      <c r="C69" s="26" t="s">
        <v>380</v>
      </c>
      <c r="D69" s="28" t="s">
        <v>373</v>
      </c>
      <c r="E69" s="27">
        <f>169</f>
        <v>169</v>
      </c>
      <c r="F69" s="30"/>
      <c r="G69" s="29"/>
      <c r="H69" s="27"/>
      <c r="I69" s="27"/>
      <c r="J69" s="31">
        <f>SUM(V61:V68)</f>
        <v>11.83</v>
      </c>
      <c r="K69" s="31"/>
    </row>
    <row r="70" spans="1:11" ht="14.25">
      <c r="A70" s="34"/>
      <c r="B70" s="35"/>
      <c r="C70" s="36" t="s">
        <v>375</v>
      </c>
      <c r="D70" s="37" t="s">
        <v>376</v>
      </c>
      <c r="E70" s="38">
        <f>Source!AQ33</f>
        <v>12.65</v>
      </c>
      <c r="F70" s="39"/>
      <c r="G70" s="40" t="str">
        <f>Source!DI33</f>
        <v>*1,15</v>
      </c>
      <c r="H70" s="38">
        <f>Source!AV33</f>
        <v>1</v>
      </c>
      <c r="I70" s="38"/>
      <c r="J70" s="41"/>
      <c r="K70" s="41">
        <f>Source!U33</f>
        <v>8.196061499999999</v>
      </c>
    </row>
    <row r="71" spans="9:16" ht="15">
      <c r="I71" s="53">
        <f>Source!O33+SUM(J66:J69)</f>
        <v>5132.58</v>
      </c>
      <c r="J71" s="53"/>
      <c r="K71" s="33">
        <f>IF(Source!I33&lt;&gt;0,ROUND(I71/Source!I33,2),0)</f>
        <v>9110.01</v>
      </c>
      <c r="P71" s="32">
        <f>I71</f>
        <v>5132.58</v>
      </c>
    </row>
    <row r="72" spans="1:22" ht="14.25">
      <c r="A72" s="24" t="str">
        <f>Source!E35</f>
        <v>5</v>
      </c>
      <c r="B72" s="25" t="str">
        <f>Source!F35</f>
        <v>6.54-1-6</v>
      </c>
      <c r="C72" s="26" t="str">
        <f>Source!G35</f>
        <v>РАЗБОРКА ПОДВЕСНЫХ ПОТОЛКОВ</v>
      </c>
      <c r="D72" s="28" t="str">
        <f>Source!DW35</f>
        <v>100 м2</v>
      </c>
      <c r="E72" s="27">
        <f>Source!I35</f>
        <v>0.3514</v>
      </c>
      <c r="F72" s="30"/>
      <c r="G72" s="29"/>
      <c r="H72" s="27"/>
      <c r="I72" s="27"/>
      <c r="J72" s="31"/>
      <c r="K72" s="31"/>
      <c r="Q72">
        <f>ROUND((Source!DN35/100)*ROUND(Source!CT35*Source!I35/IF(Source!BA35&lt;&gt;0,Source!BA35,1),2),2)</f>
        <v>186.48</v>
      </c>
      <c r="R72">
        <f>Source!X35</f>
        <v>2317.77</v>
      </c>
      <c r="S72">
        <f>ROUND((Source!DO35/100)*ROUND(Source!CT35*Source!I35/IF(Source!BA35&lt;&gt;0,Source!BA35,1),2),2)</f>
        <v>128.21</v>
      </c>
      <c r="T72">
        <f>Source!Y35</f>
        <v>1416.42</v>
      </c>
      <c r="U72">
        <f>ROUND((175/100)*ROUND(Source!CS35*Source!I35/IF(Source!BS35&lt;&gt;0,Source!BS35,1),2),2)</f>
        <v>0.81</v>
      </c>
      <c r="V72">
        <f>ROUND((169/100)*ROUND(Source!CS35*Source!I35,2),2)</f>
        <v>10.75</v>
      </c>
    </row>
    <row r="73" spans="1:11" ht="14.25">
      <c r="A73" s="24"/>
      <c r="B73" s="25"/>
      <c r="C73" s="26" t="s">
        <v>371</v>
      </c>
      <c r="D73" s="28"/>
      <c r="E73" s="27"/>
      <c r="F73" s="30">
        <f>Source!AO35</f>
        <v>663.35</v>
      </c>
      <c r="G73" s="29">
        <f>Source!DG35</f>
      </c>
      <c r="H73" s="27">
        <f>Source!AV35</f>
        <v>1</v>
      </c>
      <c r="I73" s="27">
        <f>IF(Source!BA35&lt;&gt;0,Source!BA35,1)</f>
        <v>13.81</v>
      </c>
      <c r="J73" s="31">
        <f>Source!S35</f>
        <v>3219.13</v>
      </c>
      <c r="K73" s="31"/>
    </row>
    <row r="74" spans="1:11" ht="14.25">
      <c r="A74" s="24"/>
      <c r="B74" s="25"/>
      <c r="C74" s="26" t="s">
        <v>377</v>
      </c>
      <c r="D74" s="28"/>
      <c r="E74" s="27"/>
      <c r="F74" s="30">
        <f>Source!AM35</f>
        <v>2.5</v>
      </c>
      <c r="G74" s="29">
        <f>Source!DE35</f>
      </c>
      <c r="H74" s="27">
        <f>Source!AV35</f>
        <v>1</v>
      </c>
      <c r="I74" s="27">
        <f>IF(Source!BB35&lt;&gt;0,Source!BB35,1)</f>
        <v>9.01</v>
      </c>
      <c r="J74" s="31">
        <f>Source!Q35</f>
        <v>7.92</v>
      </c>
      <c r="K74" s="31"/>
    </row>
    <row r="75" spans="1:11" ht="14.25">
      <c r="A75" s="24"/>
      <c r="B75" s="25"/>
      <c r="C75" s="26" t="s">
        <v>378</v>
      </c>
      <c r="D75" s="28"/>
      <c r="E75" s="27"/>
      <c r="F75" s="30">
        <f>Source!AN35</f>
        <v>1.31</v>
      </c>
      <c r="G75" s="29">
        <f>Source!DF35</f>
      </c>
      <c r="H75" s="27">
        <f>Source!AV35</f>
        <v>1</v>
      </c>
      <c r="I75" s="27">
        <f>IF(Source!BS35&lt;&gt;0,Source!BS35,1)</f>
        <v>13.81</v>
      </c>
      <c r="J75" s="31">
        <f>Source!R35</f>
        <v>6.36</v>
      </c>
      <c r="K75" s="31"/>
    </row>
    <row r="76" spans="1:11" ht="14.25">
      <c r="A76" s="24"/>
      <c r="B76" s="25"/>
      <c r="C76" s="26" t="s">
        <v>372</v>
      </c>
      <c r="D76" s="28" t="s">
        <v>373</v>
      </c>
      <c r="E76" s="27">
        <f>Source!BZ35</f>
        <v>72</v>
      </c>
      <c r="F76" s="30"/>
      <c r="G76" s="29"/>
      <c r="H76" s="27"/>
      <c r="I76" s="27"/>
      <c r="J76" s="31">
        <f>SUM(R72:R75)</f>
        <v>2317.77</v>
      </c>
      <c r="K76" s="31"/>
    </row>
    <row r="77" spans="1:11" ht="14.25">
      <c r="A77" s="24"/>
      <c r="B77" s="25"/>
      <c r="C77" s="26" t="s">
        <v>374</v>
      </c>
      <c r="D77" s="28" t="s">
        <v>373</v>
      </c>
      <c r="E77" s="27">
        <f>Source!CA35</f>
        <v>44</v>
      </c>
      <c r="F77" s="30"/>
      <c r="G77" s="29"/>
      <c r="H77" s="27"/>
      <c r="I77" s="27"/>
      <c r="J77" s="31">
        <f>SUM(T72:T76)</f>
        <v>1416.42</v>
      </c>
      <c r="K77" s="31"/>
    </row>
    <row r="78" spans="1:11" ht="14.25">
      <c r="A78" s="24"/>
      <c r="B78" s="25"/>
      <c r="C78" s="26" t="s">
        <v>380</v>
      </c>
      <c r="D78" s="28" t="s">
        <v>373</v>
      </c>
      <c r="E78" s="27">
        <f>169</f>
        <v>169</v>
      </c>
      <c r="F78" s="30"/>
      <c r="G78" s="29"/>
      <c r="H78" s="27"/>
      <c r="I78" s="27"/>
      <c r="J78" s="31">
        <f>SUM(V72:V77)</f>
        <v>10.75</v>
      </c>
      <c r="K78" s="31"/>
    </row>
    <row r="79" spans="1:11" ht="14.25">
      <c r="A79" s="34"/>
      <c r="B79" s="35"/>
      <c r="C79" s="36" t="s">
        <v>375</v>
      </c>
      <c r="D79" s="37" t="s">
        <v>376</v>
      </c>
      <c r="E79" s="38">
        <f>Source!AQ35</f>
        <v>58.6</v>
      </c>
      <c r="F79" s="39"/>
      <c r="G79" s="40">
        <f>Source!DI35</f>
      </c>
      <c r="H79" s="38">
        <f>Source!AV35</f>
        <v>1</v>
      </c>
      <c r="I79" s="38"/>
      <c r="J79" s="41"/>
      <c r="K79" s="41">
        <f>Source!U35</f>
        <v>20.59204</v>
      </c>
    </row>
    <row r="80" spans="9:16" ht="15">
      <c r="I80" s="53">
        <f>Source!O35+SUM(J76:J78)</f>
        <v>6971.99</v>
      </c>
      <c r="J80" s="53"/>
      <c r="K80" s="33">
        <f>IF(Source!I35&lt;&gt;0,ROUND(I80/Source!I35,2),0)</f>
        <v>19840.61</v>
      </c>
      <c r="P80" s="32">
        <f>I80</f>
        <v>6971.99</v>
      </c>
    </row>
    <row r="81" spans="1:22" ht="99.75">
      <c r="A81" s="24" t="str">
        <f>Source!E36</f>
        <v>6</v>
      </c>
      <c r="B81" s="25" t="str">
        <f>Source!F36</f>
        <v>3.10-71-3</v>
      </c>
      <c r="C81" s="26" t="str">
        <f>Source!G36</f>
        <v>УСТРОЙСТВО ПЕРЕГОРОДОК С ОДНОРЯДНЫМ КАРКАСОМ С ОБШИВКОЙ ГИПСОКАРТОННЫМИ ЛИСТАМИ ДВУХ СТОРОН В ОДИН СЛОЙ И ИЗОЛЯЦИЕЙ - ДВУХСЛОЙНЫЕ С ИЗОЛЯЦИЕЙ (БЕЗ ПОДГОТОВКИ ПОД ОТДЕЛКУ)</v>
      </c>
      <c r="D81" s="28" t="str">
        <f>Source!DW36</f>
        <v>100 м2</v>
      </c>
      <c r="E81" s="27">
        <f>Source!I36</f>
        <v>0.061</v>
      </c>
      <c r="F81" s="30"/>
      <c r="G81" s="29"/>
      <c r="H81" s="27"/>
      <c r="I81" s="27"/>
      <c r="J81" s="31"/>
      <c r="K81" s="31"/>
      <c r="Q81">
        <f>ROUND((Source!DN36/100)*ROUND(Source!CT36*Source!I36/IF(Source!BA36&lt;&gt;0,Source!BA36,1),2),2)</f>
        <v>294.75</v>
      </c>
      <c r="R81">
        <f>Source!X36</f>
        <v>3444.22</v>
      </c>
      <c r="S81">
        <f>ROUND((Source!DO36/100)*ROUND(Source!CT36*Source!I36/IF(Source!BA36&lt;&gt;0,Source!BA36,1),2),2)</f>
        <v>226.73</v>
      </c>
      <c r="T81">
        <f>Source!Y36</f>
        <v>1968.12</v>
      </c>
      <c r="U81">
        <f>ROUND((175/100)*ROUND(Source!CS36*Source!I36/IF(Source!BS36&lt;&gt;0,Source!BS36,1),2),2)</f>
        <v>0.54</v>
      </c>
      <c r="V81">
        <f>ROUND((169/100)*ROUND(Source!CS36*Source!I36,2),2)</f>
        <v>7.15</v>
      </c>
    </row>
    <row r="82" spans="1:11" ht="14.25">
      <c r="A82" s="24"/>
      <c r="B82" s="25"/>
      <c r="C82" s="26" t="s">
        <v>371</v>
      </c>
      <c r="D82" s="28"/>
      <c r="E82" s="27"/>
      <c r="F82" s="30">
        <f>Source!AO36</f>
        <v>4617.2</v>
      </c>
      <c r="G82" s="29" t="str">
        <f>Source!DG36</f>
        <v>*1,15</v>
      </c>
      <c r="H82" s="27">
        <f>Source!AV36</f>
        <v>1</v>
      </c>
      <c r="I82" s="27">
        <f>IF(Source!BA36&lt;&gt;0,Source!BA36,1)</f>
        <v>13.81</v>
      </c>
      <c r="J82" s="31">
        <f>Source!S36</f>
        <v>4473.01</v>
      </c>
      <c r="K82" s="31"/>
    </row>
    <row r="83" spans="1:11" ht="14.25">
      <c r="A83" s="24"/>
      <c r="B83" s="25"/>
      <c r="C83" s="26" t="s">
        <v>377</v>
      </c>
      <c r="D83" s="28"/>
      <c r="E83" s="27"/>
      <c r="F83" s="30">
        <f>Source!AM36</f>
        <v>74.2</v>
      </c>
      <c r="G83" s="29" t="str">
        <f>Source!DE36</f>
        <v>*1,25</v>
      </c>
      <c r="H83" s="27">
        <f>Source!AV36</f>
        <v>1</v>
      </c>
      <c r="I83" s="27">
        <f>IF(Source!BB36&lt;&gt;0,Source!BB36,1)</f>
        <v>7.52</v>
      </c>
      <c r="J83" s="31">
        <f>Source!Q36</f>
        <v>42.55</v>
      </c>
      <c r="K83" s="31"/>
    </row>
    <row r="84" spans="1:11" ht="14.25">
      <c r="A84" s="24"/>
      <c r="B84" s="25"/>
      <c r="C84" s="26" t="s">
        <v>378</v>
      </c>
      <c r="D84" s="28"/>
      <c r="E84" s="27"/>
      <c r="F84" s="30">
        <f>Source!AN36</f>
        <v>4.02</v>
      </c>
      <c r="G84" s="29" t="str">
        <f>Source!DF36</f>
        <v>*1,25</v>
      </c>
      <c r="H84" s="27">
        <f>Source!AV36</f>
        <v>1</v>
      </c>
      <c r="I84" s="27">
        <f>IF(Source!BS36&lt;&gt;0,Source!BS36,1)</f>
        <v>13.81</v>
      </c>
      <c r="J84" s="31">
        <f>Source!R36</f>
        <v>4.23</v>
      </c>
      <c r="K84" s="31"/>
    </row>
    <row r="85" spans="1:11" ht="14.25">
      <c r="A85" s="24"/>
      <c r="B85" s="25"/>
      <c r="C85" s="26" t="s">
        <v>379</v>
      </c>
      <c r="D85" s="28"/>
      <c r="E85" s="27"/>
      <c r="F85" s="30">
        <f>Source!AL36</f>
        <v>2613.72</v>
      </c>
      <c r="G85" s="29">
        <f>Source!DD36</f>
      </c>
      <c r="H85" s="27">
        <f>Source!AW36</f>
        <v>1</v>
      </c>
      <c r="I85" s="27">
        <f>IF(Source!BC36&lt;&gt;0,Source!BC36,1)</f>
        <v>2.41</v>
      </c>
      <c r="J85" s="31">
        <f>Source!P36</f>
        <v>384.24</v>
      </c>
      <c r="K85" s="31"/>
    </row>
    <row r="86" spans="1:22" ht="99.75">
      <c r="A86" s="24" t="str">
        <f>Source!E37</f>
        <v>6,1</v>
      </c>
      <c r="B86" s="25" t="str">
        <f>Source!F37</f>
        <v>1.7-4-18</v>
      </c>
      <c r="C86" s="26" t="str">
        <f>Source!G37</f>
        <v>ПРОФИЛИ НАПРАВЛЯЮЩИХ МЕТАЛЛИЧЕСКИЕ ДЛЯ МОНТАЖА ГИПСОВЫХ ПЕРЕГОРОДОК И ПОДВЕСНЫХ ПОТОЛКОВ СТАЛЬНЫЕ, ОЦИНКОВАННЫЕ, МАРКА ПН-6, СЕЧЕНИЕ 100Х40Х0,55 ММ</v>
      </c>
      <c r="D86" s="28" t="str">
        <f>Source!DW37</f>
        <v>т</v>
      </c>
      <c r="E86" s="27">
        <f>Source!I37</f>
        <v>0.004819</v>
      </c>
      <c r="F86" s="30">
        <f>Source!AK37</f>
        <v>27885.31</v>
      </c>
      <c r="G86" s="29"/>
      <c r="H86" s="27">
        <f>Source!AW37</f>
        <v>1</v>
      </c>
      <c r="I86" s="27">
        <f>IF(Source!BC37&lt;&gt;0,Source!BC37,1)</f>
        <v>2.01</v>
      </c>
      <c r="J86" s="31">
        <f>Source!O37</f>
        <v>270.1</v>
      </c>
      <c r="K86" s="31"/>
      <c r="Q86">
        <f>ROUND((Source!DN37/100)*ROUND(Source!CT37*Source!I37/IF(Source!BA37&lt;&gt;0,Source!BA37,1),2),2)</f>
        <v>0</v>
      </c>
      <c r="R86">
        <f>Source!X37</f>
        <v>0</v>
      </c>
      <c r="S86">
        <f>ROUND((Source!DO37/100)*ROUND(Source!CT37*Source!I37/IF(Source!BA37&lt;&gt;0,Source!BA37,1),2),2)</f>
        <v>0</v>
      </c>
      <c r="T86">
        <f>Source!Y37</f>
        <v>0</v>
      </c>
      <c r="U86">
        <f>ROUND((175/100)*ROUND(Source!CS37*Source!I37/IF(Source!BS37&lt;&gt;0,Source!BS37,1),2),2)</f>
        <v>0</v>
      </c>
      <c r="V86">
        <f>ROUND((169/100)*ROUND(Source!CS37*Source!I37,2),2)</f>
        <v>0</v>
      </c>
    </row>
    <row r="87" spans="1:22" ht="85.5">
      <c r="A87" s="24" t="str">
        <f>Source!E38</f>
        <v>6,2</v>
      </c>
      <c r="B87" s="25" t="str">
        <f>Source!F38</f>
        <v>1.7-4-8</v>
      </c>
      <c r="C87" s="26" t="str">
        <f>Source!G38</f>
        <v>ПРОФИЛИ СТОЕК МЕТАЛЛИЧЕСКИЕ ДЛЯ МОНТАЖА ГИПСОВЫХ ПЕРЕГОРОДОК И ПОДВЕСНЫХ ПОТОЛКОВ СТАЛЬНЫЕ, ОЦИНКОВАННЫЕ, МАРКА ПС-6, СЕЧЕНИЕ 100Х50Х0,55 ММ</v>
      </c>
      <c r="D87" s="28" t="str">
        <f>Source!DW38</f>
        <v>т</v>
      </c>
      <c r="E87" s="27">
        <f>Source!I38</f>
        <v>0.014700999999999999</v>
      </c>
      <c r="F87" s="30">
        <f>Source!AK38</f>
        <v>27292.65</v>
      </c>
      <c r="G87" s="29"/>
      <c r="H87" s="27">
        <f>Source!AW38</f>
        <v>1</v>
      </c>
      <c r="I87" s="27">
        <f>IF(Source!BC38&lt;&gt;0,Source!BC38,1)</f>
        <v>2.34</v>
      </c>
      <c r="J87" s="31">
        <f>Source!O38</f>
        <v>938.88</v>
      </c>
      <c r="K87" s="31"/>
      <c r="Q87">
        <f>ROUND((Source!DN38/100)*ROUND(Source!CT38*Source!I38/IF(Source!BA38&lt;&gt;0,Source!BA38,1),2),2)</f>
        <v>0</v>
      </c>
      <c r="R87">
        <f>Source!X38</f>
        <v>0</v>
      </c>
      <c r="S87">
        <f>ROUND((Source!DO38/100)*ROUND(Source!CT38*Source!I38/IF(Source!BA38&lt;&gt;0,Source!BA38,1),2),2)</f>
        <v>0</v>
      </c>
      <c r="T87">
        <f>Source!Y38</f>
        <v>0</v>
      </c>
      <c r="U87">
        <f>ROUND((175/100)*ROUND(Source!CS38*Source!I38/IF(Source!BS38&lt;&gt;0,Source!BS38,1),2),2)</f>
        <v>0</v>
      </c>
      <c r="V87">
        <f>ROUND((169/100)*ROUND(Source!CS38*Source!I38,2),2)</f>
        <v>0</v>
      </c>
    </row>
    <row r="88" spans="1:22" ht="99.75">
      <c r="A88" s="24" t="str">
        <f>Source!E39</f>
        <v>6,3</v>
      </c>
      <c r="B88" s="25" t="str">
        <f>Source!F39</f>
        <v>1.7-4-24</v>
      </c>
      <c r="C88" s="26" t="str">
        <f>Source!G39</f>
        <v>ПРОФИЛИ МЕТАЛЛИЧЕСКИЕ ДЛЯ МОНТАЖА ГИПСОВЫХ ПЕРЕГОРОДОК И ПОДВЕСНЫХ ПОТОЛКОВ СТАЛЬНЫЕ, ОЦИНКОВАННЫЕ, МАРКА ПУ-2, ПРОФИЛЬ УГЛОВОЙ, СЕЧЕНИЕ 31Х31Х0,55 ММ</v>
      </c>
      <c r="D88" s="28" t="str">
        <f>Source!DW39</f>
        <v>т</v>
      </c>
      <c r="E88" s="27">
        <f>Source!I39</f>
        <v>0.0011589999999999999</v>
      </c>
      <c r="F88" s="30">
        <f>Source!AK39</f>
        <v>60883.49</v>
      </c>
      <c r="G88" s="29"/>
      <c r="H88" s="27">
        <f>Source!AW39</f>
        <v>1</v>
      </c>
      <c r="I88" s="27">
        <f>IF(Source!BC39&lt;&gt;0,Source!BC39,1)</f>
        <v>2.23</v>
      </c>
      <c r="J88" s="31">
        <f>Source!O39</f>
        <v>157.36</v>
      </c>
      <c r="K88" s="31"/>
      <c r="Q88">
        <f>ROUND((Source!DN39/100)*ROUND(Source!CT39*Source!I39/IF(Source!BA39&lt;&gt;0,Source!BA39,1),2),2)</f>
        <v>0</v>
      </c>
      <c r="R88">
        <f>Source!X39</f>
        <v>0</v>
      </c>
      <c r="S88">
        <f>ROUND((Source!DO39/100)*ROUND(Source!CT39*Source!I39/IF(Source!BA39&lt;&gt;0,Source!BA39,1),2),2)</f>
        <v>0</v>
      </c>
      <c r="T88">
        <f>Source!Y39</f>
        <v>0</v>
      </c>
      <c r="U88">
        <f>ROUND((175/100)*ROUND(Source!CS39*Source!I39/IF(Source!BS39&lt;&gt;0,Source!BS39,1),2),2)</f>
        <v>0</v>
      </c>
      <c r="V88">
        <f>ROUND((169/100)*ROUND(Source!CS39*Source!I39,2),2)</f>
        <v>0</v>
      </c>
    </row>
    <row r="89" spans="1:22" ht="14.25">
      <c r="A89" s="24" t="str">
        <f>Source!E40</f>
        <v>6,4</v>
      </c>
      <c r="B89" s="25" t="str">
        <f>Source!F40</f>
        <v>1.1-1-567</v>
      </c>
      <c r="C89" s="26" t="str">
        <f>Source!G40</f>
        <v>ЛИСТЫ ГИПСОКАРТОННЫЕ</v>
      </c>
      <c r="D89" s="28" t="str">
        <f>Source!DW40</f>
        <v>м2</v>
      </c>
      <c r="E89" s="27">
        <f>Source!I40</f>
        <v>13.969</v>
      </c>
      <c r="F89" s="30">
        <f>Source!AK40</f>
        <v>34.68</v>
      </c>
      <c r="G89" s="29"/>
      <c r="H89" s="27">
        <f>Source!AW40</f>
        <v>1</v>
      </c>
      <c r="I89" s="27">
        <f>IF(Source!BC40&lt;&gt;0,Source!BC40,1)</f>
        <v>2.25</v>
      </c>
      <c r="J89" s="31">
        <f>Source!O40</f>
        <v>1090</v>
      </c>
      <c r="K89" s="31"/>
      <c r="Q89">
        <f>ROUND((Source!DN40/100)*ROUND(Source!CT40*Source!I40/IF(Source!BA40&lt;&gt;0,Source!BA40,1),2),2)</f>
        <v>0</v>
      </c>
      <c r="R89">
        <f>Source!X40</f>
        <v>0</v>
      </c>
      <c r="S89">
        <f>ROUND((Source!DO40/100)*ROUND(Source!CT40*Source!I40/IF(Source!BA40&lt;&gt;0,Source!BA40,1),2),2)</f>
        <v>0</v>
      </c>
      <c r="T89">
        <f>Source!Y40</f>
        <v>0</v>
      </c>
      <c r="U89">
        <f>ROUND((175/100)*ROUND(Source!CS40*Source!I40/IF(Source!BS40&lt;&gt;0,Source!BS40,1),2),2)</f>
        <v>0</v>
      </c>
      <c r="V89">
        <f>ROUND((169/100)*ROUND(Source!CS40*Source!I40,2),2)</f>
        <v>0</v>
      </c>
    </row>
    <row r="90" spans="1:22" ht="14.25">
      <c r="A90" s="24" t="str">
        <f>Source!E41</f>
        <v>6,5</v>
      </c>
      <c r="B90" s="25" t="str">
        <f>Source!F41</f>
        <v>1.1-1-887</v>
      </c>
      <c r="C90" s="26" t="str">
        <f>Source!G41</f>
        <v>ПЛИТЫ МИНЕРАЛОВАТНЫЕ</v>
      </c>
      <c r="D90" s="28" t="str">
        <f>Source!DW41</f>
        <v>м3</v>
      </c>
      <c r="E90" s="27">
        <f>Source!I41</f>
        <v>0.31415000000000004</v>
      </c>
      <c r="F90" s="30">
        <f>Source!AK41</f>
        <v>901.23</v>
      </c>
      <c r="G90" s="29"/>
      <c r="H90" s="27">
        <f>Source!AW41</f>
        <v>1</v>
      </c>
      <c r="I90" s="27">
        <f>IF(Source!BC41&lt;&gt;0,Source!BC41,1)</f>
        <v>4.27</v>
      </c>
      <c r="J90" s="31">
        <f>Source!O41</f>
        <v>1208.93</v>
      </c>
      <c r="K90" s="31"/>
      <c r="Q90">
        <f>ROUND((Source!DN41/100)*ROUND(Source!CT41*Source!I41/IF(Source!BA41&lt;&gt;0,Source!BA41,1),2),2)</f>
        <v>0</v>
      </c>
      <c r="R90">
        <f>Source!X41</f>
        <v>0</v>
      </c>
      <c r="S90">
        <f>ROUND((Source!DO41/100)*ROUND(Source!CT41*Source!I41/IF(Source!BA41&lt;&gt;0,Source!BA41,1),2),2)</f>
        <v>0</v>
      </c>
      <c r="T90">
        <f>Source!Y41</f>
        <v>0</v>
      </c>
      <c r="U90">
        <f>ROUND((175/100)*ROUND(Source!CS41*Source!I41/IF(Source!BS41&lt;&gt;0,Source!BS41,1),2),2)</f>
        <v>0</v>
      </c>
      <c r="V90">
        <f>ROUND((169/100)*ROUND(Source!CS41*Source!I41,2),2)</f>
        <v>0</v>
      </c>
    </row>
    <row r="91" spans="1:11" ht="14.25">
      <c r="A91" s="24"/>
      <c r="B91" s="25"/>
      <c r="C91" s="26" t="s">
        <v>372</v>
      </c>
      <c r="D91" s="28" t="s">
        <v>373</v>
      </c>
      <c r="E91" s="27">
        <f>Source!BZ36</f>
        <v>77</v>
      </c>
      <c r="F91" s="30"/>
      <c r="G91" s="29"/>
      <c r="H91" s="27"/>
      <c r="I91" s="27"/>
      <c r="J91" s="31">
        <f>SUM(R81:R90)</f>
        <v>3444.22</v>
      </c>
      <c r="K91" s="31"/>
    </row>
    <row r="92" spans="1:11" ht="14.25">
      <c r="A92" s="24"/>
      <c r="B92" s="25"/>
      <c r="C92" s="26" t="s">
        <v>374</v>
      </c>
      <c r="D92" s="28" t="s">
        <v>373</v>
      </c>
      <c r="E92" s="27">
        <f>Source!CA36</f>
        <v>44</v>
      </c>
      <c r="F92" s="30"/>
      <c r="G92" s="29"/>
      <c r="H92" s="27"/>
      <c r="I92" s="27"/>
      <c r="J92" s="31">
        <f>SUM(T81:T91)</f>
        <v>1968.12</v>
      </c>
      <c r="K92" s="31"/>
    </row>
    <row r="93" spans="1:11" ht="14.25">
      <c r="A93" s="24"/>
      <c r="B93" s="25"/>
      <c r="C93" s="26" t="s">
        <v>380</v>
      </c>
      <c r="D93" s="28" t="s">
        <v>373</v>
      </c>
      <c r="E93" s="27">
        <f>169</f>
        <v>169</v>
      </c>
      <c r="F93" s="30"/>
      <c r="G93" s="29"/>
      <c r="H93" s="27"/>
      <c r="I93" s="27"/>
      <c r="J93" s="31">
        <f>SUM(V81:V92)</f>
        <v>7.15</v>
      </c>
      <c r="K93" s="31"/>
    </row>
    <row r="94" spans="1:11" ht="14.25">
      <c r="A94" s="34"/>
      <c r="B94" s="35"/>
      <c r="C94" s="36" t="s">
        <v>375</v>
      </c>
      <c r="D94" s="37" t="s">
        <v>376</v>
      </c>
      <c r="E94" s="38">
        <f>Source!AQ36</f>
        <v>388</v>
      </c>
      <c r="F94" s="39"/>
      <c r="G94" s="40" t="str">
        <f>Source!DI36</f>
        <v>*1,15</v>
      </c>
      <c r="H94" s="38">
        <f>Source!AV36</f>
        <v>1</v>
      </c>
      <c r="I94" s="38"/>
      <c r="J94" s="41"/>
      <c r="K94" s="41">
        <f>Source!U36</f>
        <v>27.2182</v>
      </c>
    </row>
    <row r="95" spans="9:16" ht="15">
      <c r="I95" s="53">
        <f>Source!O36+SUM(J86:J93)</f>
        <v>13984.560000000001</v>
      </c>
      <c r="J95" s="53"/>
      <c r="K95" s="33">
        <f>IF(Source!I36&lt;&gt;0,ROUND(I95/Source!I36,2),0)</f>
        <v>229255.08</v>
      </c>
      <c r="P95" s="32">
        <f>I95</f>
        <v>13984.560000000001</v>
      </c>
    </row>
    <row r="96" spans="1:22" ht="57">
      <c r="A96" s="24" t="str">
        <f>Source!E42</f>
        <v>7</v>
      </c>
      <c r="B96" s="25" t="str">
        <f>Source!F42</f>
        <v>3.10-71-4</v>
      </c>
      <c r="C96" s="26" t="str">
        <f>Source!G42</f>
        <v>УСТРОЙСТВО ДОПОЛНИТЕЛЬНОГО СЛОЯ ИЗ ГИПСОКАРТОННЫХ ЛИСТОВ С МЕТАЛЛИЧЕСКИМ КАРКАСОМ</v>
      </c>
      <c r="D96" s="28" t="str">
        <f>Source!DW42</f>
        <v>100 м2</v>
      </c>
      <c r="E96" s="27">
        <f>Source!I42</f>
        <v>0.122</v>
      </c>
      <c r="F96" s="30"/>
      <c r="G96" s="29"/>
      <c r="H96" s="27"/>
      <c r="I96" s="27"/>
      <c r="J96" s="31"/>
      <c r="K96" s="31"/>
      <c r="Q96">
        <f>ROUND((Source!DN42/100)*ROUND(Source!CT42*Source!I42/IF(Source!BA42&lt;&gt;0,Source!BA42,1),2),2)</f>
        <v>99.1</v>
      </c>
      <c r="R96">
        <f>Source!X42</f>
        <v>1157.96</v>
      </c>
      <c r="S96">
        <f>ROUND((Source!DO42/100)*ROUND(Source!CT42*Source!I42/IF(Source!BA42&lt;&gt;0,Source!BA42,1),2),2)</f>
        <v>76.23</v>
      </c>
      <c r="T96">
        <f>Source!Y42</f>
        <v>661.69</v>
      </c>
      <c r="U96">
        <f>ROUND((175/100)*ROUND(Source!CS42*Source!I42/IF(Source!BS42&lt;&gt;0,Source!BS42,1),2),2)</f>
        <v>0.14</v>
      </c>
      <c r="V96">
        <f>ROUND((169/100)*ROUND(Source!CS42*Source!I42,2),2)</f>
        <v>1.86</v>
      </c>
    </row>
    <row r="97" spans="1:11" ht="14.25">
      <c r="A97" s="24"/>
      <c r="B97" s="25"/>
      <c r="C97" s="26" t="s">
        <v>371</v>
      </c>
      <c r="D97" s="28"/>
      <c r="E97" s="27"/>
      <c r="F97" s="30">
        <f>Source!AO42</f>
        <v>776.16</v>
      </c>
      <c r="G97" s="29" t="str">
        <f>Source!DG42</f>
        <v>*1,15</v>
      </c>
      <c r="H97" s="27">
        <f>Source!AV42</f>
        <v>1</v>
      </c>
      <c r="I97" s="27">
        <f>IF(Source!BA42&lt;&gt;0,Source!BA42,1)</f>
        <v>13.81</v>
      </c>
      <c r="J97" s="31">
        <f>Source!S42</f>
        <v>1503.84</v>
      </c>
      <c r="K97" s="31"/>
    </row>
    <row r="98" spans="1:11" ht="14.25">
      <c r="A98" s="24"/>
      <c r="B98" s="25"/>
      <c r="C98" s="26" t="s">
        <v>377</v>
      </c>
      <c r="D98" s="28"/>
      <c r="E98" s="27"/>
      <c r="F98" s="30">
        <f>Source!AM42</f>
        <v>8.32</v>
      </c>
      <c r="G98" s="29" t="str">
        <f>Source!DE42</f>
        <v>*1,25</v>
      </c>
      <c r="H98" s="27">
        <f>Source!AV42</f>
        <v>1</v>
      </c>
      <c r="I98" s="27">
        <f>IF(Source!BB42&lt;&gt;0,Source!BB42,1)</f>
        <v>5.63</v>
      </c>
      <c r="J98" s="31">
        <f>Source!Q42</f>
        <v>7.14</v>
      </c>
      <c r="K98" s="31"/>
    </row>
    <row r="99" spans="1:11" ht="14.25">
      <c r="A99" s="24"/>
      <c r="B99" s="25"/>
      <c r="C99" s="26" t="s">
        <v>378</v>
      </c>
      <c r="D99" s="28"/>
      <c r="E99" s="27"/>
      <c r="F99" s="30">
        <f>Source!AN42</f>
        <v>0.52</v>
      </c>
      <c r="G99" s="29" t="str">
        <f>Source!DF42</f>
        <v>*1,25</v>
      </c>
      <c r="H99" s="27">
        <f>Source!AV42</f>
        <v>1</v>
      </c>
      <c r="I99" s="27">
        <f>IF(Source!BS42&lt;&gt;0,Source!BS42,1)</f>
        <v>13.81</v>
      </c>
      <c r="J99" s="31">
        <f>Source!R42</f>
        <v>1.1</v>
      </c>
      <c r="K99" s="31"/>
    </row>
    <row r="100" spans="1:11" ht="14.25">
      <c r="A100" s="24"/>
      <c r="B100" s="25"/>
      <c r="C100" s="26" t="s">
        <v>379</v>
      </c>
      <c r="D100" s="28"/>
      <c r="E100" s="27"/>
      <c r="F100" s="30">
        <f>Source!AL42</f>
        <v>287.46</v>
      </c>
      <c r="G100" s="29">
        <f>Source!DD42</f>
      </c>
      <c r="H100" s="27">
        <f>Source!AW42</f>
        <v>1</v>
      </c>
      <c r="I100" s="27">
        <f>IF(Source!BC42&lt;&gt;0,Source!BC42,1)</f>
        <v>1.26</v>
      </c>
      <c r="J100" s="31">
        <f>Source!P42</f>
        <v>44.19</v>
      </c>
      <c r="K100" s="31"/>
    </row>
    <row r="101" spans="1:22" ht="14.25">
      <c r="A101" s="24" t="str">
        <f>Source!E43</f>
        <v>7,1</v>
      </c>
      <c r="B101" s="25" t="str">
        <f>Source!F43</f>
        <v>1.1-1-567</v>
      </c>
      <c r="C101" s="26" t="str">
        <f>Source!G43</f>
        <v>ЛИСТЫ ГИПСОКАРТОННЫЕ</v>
      </c>
      <c r="D101" s="28" t="str">
        <f>Source!DW43</f>
        <v>м2</v>
      </c>
      <c r="E101" s="27">
        <f>Source!I43</f>
        <v>14.798599999999999</v>
      </c>
      <c r="F101" s="30">
        <f>Source!AK43</f>
        <v>34.68</v>
      </c>
      <c r="G101" s="29"/>
      <c r="H101" s="27">
        <f>Source!AW43</f>
        <v>1</v>
      </c>
      <c r="I101" s="27">
        <f>IF(Source!BC43&lt;&gt;0,Source!BC43,1)</f>
        <v>2.25</v>
      </c>
      <c r="J101" s="31">
        <f>Source!O43</f>
        <v>1154.73</v>
      </c>
      <c r="K101" s="31"/>
      <c r="Q101">
        <f>ROUND((Source!DN43/100)*ROUND(Source!CT43*Source!I43/IF(Source!BA43&lt;&gt;0,Source!BA43,1),2),2)</f>
        <v>0</v>
      </c>
      <c r="R101">
        <f>Source!X43</f>
        <v>0</v>
      </c>
      <c r="S101">
        <f>ROUND((Source!DO43/100)*ROUND(Source!CT43*Source!I43/IF(Source!BA43&lt;&gt;0,Source!BA43,1),2),2)</f>
        <v>0</v>
      </c>
      <c r="T101">
        <f>Source!Y43</f>
        <v>0</v>
      </c>
      <c r="U101">
        <f>ROUND((175/100)*ROUND(Source!CS43*Source!I43/IF(Source!BS43&lt;&gt;0,Source!BS43,1),2),2)</f>
        <v>0</v>
      </c>
      <c r="V101">
        <f>ROUND((169/100)*ROUND(Source!CS43*Source!I43,2),2)</f>
        <v>0</v>
      </c>
    </row>
    <row r="102" spans="1:11" ht="14.25">
      <c r="A102" s="24"/>
      <c r="B102" s="25"/>
      <c r="C102" s="26" t="s">
        <v>372</v>
      </c>
      <c r="D102" s="28" t="s">
        <v>373</v>
      </c>
      <c r="E102" s="27">
        <f>Source!BZ42</f>
        <v>77</v>
      </c>
      <c r="F102" s="30"/>
      <c r="G102" s="29"/>
      <c r="H102" s="27"/>
      <c r="I102" s="27"/>
      <c r="J102" s="31">
        <f>SUM(R96:R101)</f>
        <v>1157.96</v>
      </c>
      <c r="K102" s="31"/>
    </row>
    <row r="103" spans="1:11" ht="14.25">
      <c r="A103" s="24"/>
      <c r="B103" s="25"/>
      <c r="C103" s="26" t="s">
        <v>374</v>
      </c>
      <c r="D103" s="28" t="s">
        <v>373</v>
      </c>
      <c r="E103" s="27">
        <f>Source!CA42</f>
        <v>44</v>
      </c>
      <c r="F103" s="30"/>
      <c r="G103" s="29"/>
      <c r="H103" s="27"/>
      <c r="I103" s="27"/>
      <c r="J103" s="31">
        <f>SUM(T96:T102)</f>
        <v>661.69</v>
      </c>
      <c r="K103" s="31"/>
    </row>
    <row r="104" spans="1:11" ht="14.25">
      <c r="A104" s="24"/>
      <c r="B104" s="25"/>
      <c r="C104" s="26" t="s">
        <v>380</v>
      </c>
      <c r="D104" s="28" t="s">
        <v>373</v>
      </c>
      <c r="E104" s="27">
        <f>169</f>
        <v>169</v>
      </c>
      <c r="F104" s="30"/>
      <c r="G104" s="29"/>
      <c r="H104" s="27"/>
      <c r="I104" s="27"/>
      <c r="J104" s="31">
        <f>SUM(V96:V103)</f>
        <v>1.86</v>
      </c>
      <c r="K104" s="31"/>
    </row>
    <row r="105" spans="1:11" ht="14.25">
      <c r="A105" s="34"/>
      <c r="B105" s="35"/>
      <c r="C105" s="36" t="s">
        <v>375</v>
      </c>
      <c r="D105" s="37" t="s">
        <v>376</v>
      </c>
      <c r="E105" s="38">
        <f>Source!AQ42</f>
        <v>66</v>
      </c>
      <c r="F105" s="39"/>
      <c r="G105" s="40" t="str">
        <f>Source!DI42</f>
        <v>*1,15</v>
      </c>
      <c r="H105" s="38">
        <f>Source!AV42</f>
        <v>1</v>
      </c>
      <c r="I105" s="38"/>
      <c r="J105" s="41"/>
      <c r="K105" s="41">
        <f>Source!U42</f>
        <v>9.259799999999998</v>
      </c>
    </row>
    <row r="106" spans="9:16" ht="15">
      <c r="I106" s="53">
        <f>Source!O42+SUM(J101:J104)</f>
        <v>4531.41</v>
      </c>
      <c r="J106" s="53"/>
      <c r="K106" s="33">
        <f>IF(Source!I42&lt;&gt;0,ROUND(I106/Source!I42,2),0)</f>
        <v>37142.7</v>
      </c>
      <c r="P106" s="32">
        <f>I106</f>
        <v>4531.41</v>
      </c>
    </row>
    <row r="107" spans="1:22" ht="28.5">
      <c r="A107" s="24" t="str">
        <f>Source!E44</f>
        <v>8</v>
      </c>
      <c r="B107" s="25" t="str">
        <f>Source!F44</f>
        <v>3.15-104-1</v>
      </c>
      <c r="C107" s="26" t="str">
        <f>Source!G44</f>
        <v>ЗАДЕЛКА СТЫКОВ  ГИПСОКАРТОННЫХ ЛИСТОВ</v>
      </c>
      <c r="D107" s="28" t="str">
        <f>Source!DW44</f>
        <v>100 м2</v>
      </c>
      <c r="E107" s="27">
        <f>Source!I44</f>
        <v>0.122</v>
      </c>
      <c r="F107" s="30"/>
      <c r="G107" s="29"/>
      <c r="H107" s="27"/>
      <c r="I107" s="27"/>
      <c r="J107" s="31"/>
      <c r="K107" s="31"/>
      <c r="Q107">
        <f>ROUND((Source!DN44/100)*ROUND(Source!CT44*Source!I44/IF(Source!BA44&lt;&gt;0,Source!BA44,1),2),2)</f>
        <v>59.4</v>
      </c>
      <c r="R107">
        <f>Source!X44</f>
        <v>697.24</v>
      </c>
      <c r="S107">
        <f>ROUND((Source!DO44/100)*ROUND(Source!CT44*Source!I44/IF(Source!BA44&lt;&gt;0,Source!BA44,1),2),2)</f>
        <v>38.02</v>
      </c>
      <c r="T107">
        <f>Source!Y44</f>
        <v>360.92</v>
      </c>
      <c r="U107">
        <f>ROUND((175/100)*ROUND(Source!CS44*Source!I44/IF(Source!BS44&lt;&gt;0,Source!BS44,1),2),2)</f>
        <v>0</v>
      </c>
      <c r="V107">
        <f>ROUND((169/100)*ROUND(Source!CS44*Source!I44,2),2)</f>
        <v>0</v>
      </c>
    </row>
    <row r="108" spans="1:11" ht="14.25">
      <c r="A108" s="24"/>
      <c r="B108" s="25"/>
      <c r="C108" s="26" t="s">
        <v>371</v>
      </c>
      <c r="D108" s="28"/>
      <c r="E108" s="27"/>
      <c r="F108" s="30">
        <f>Source!AO44</f>
        <v>423.36</v>
      </c>
      <c r="G108" s="29" t="str">
        <f>Source!DG44</f>
        <v>*1,15</v>
      </c>
      <c r="H108" s="27">
        <f>Source!AV44</f>
        <v>1</v>
      </c>
      <c r="I108" s="27">
        <f>IF(Source!BA44&lt;&gt;0,Source!BA44,1)</f>
        <v>13.81</v>
      </c>
      <c r="J108" s="31">
        <f>Source!S44</f>
        <v>820.28</v>
      </c>
      <c r="K108" s="31"/>
    </row>
    <row r="109" spans="1:11" ht="14.25">
      <c r="A109" s="24"/>
      <c r="B109" s="25"/>
      <c r="C109" s="26" t="s">
        <v>379</v>
      </c>
      <c r="D109" s="28"/>
      <c r="E109" s="27"/>
      <c r="F109" s="30">
        <f>Source!AL44</f>
        <v>259.12</v>
      </c>
      <c r="G109" s="29">
        <f>Source!DD44</f>
      </c>
      <c r="H109" s="27">
        <f>Source!AW44</f>
        <v>1</v>
      </c>
      <c r="I109" s="27">
        <f>IF(Source!BC44&lt;&gt;0,Source!BC44,1)</f>
        <v>1.39</v>
      </c>
      <c r="J109" s="31">
        <f>Source!P44</f>
        <v>43.94</v>
      </c>
      <c r="K109" s="31"/>
    </row>
    <row r="110" spans="1:22" ht="28.5">
      <c r="A110" s="24" t="str">
        <f>Source!E45</f>
        <v>8,1</v>
      </c>
      <c r="B110" s="25" t="str">
        <f>Source!F45</f>
        <v>1.3-2-49</v>
      </c>
      <c r="C110" s="26" t="str">
        <f>Source!G45</f>
        <v>СМЕСИ СУХИЕ 'ФУГЕНФЮЛЛЕР', ГИПСОВЫЕ</v>
      </c>
      <c r="D110" s="28" t="str">
        <f>Source!DW45</f>
        <v>кг</v>
      </c>
      <c r="E110" s="27">
        <f>Source!I45</f>
        <v>0.61</v>
      </c>
      <c r="F110" s="30">
        <f>Source!AK45</f>
        <v>5.19</v>
      </c>
      <c r="G110" s="29"/>
      <c r="H110" s="27">
        <f>Source!AW45</f>
        <v>1</v>
      </c>
      <c r="I110" s="27">
        <f>IF(Source!BC45&lt;&gt;0,Source!BC45,1)</f>
        <v>2.58</v>
      </c>
      <c r="J110" s="31">
        <f>Source!O45</f>
        <v>8.17</v>
      </c>
      <c r="K110" s="31"/>
      <c r="Q110">
        <f>ROUND((Source!DN45/100)*ROUND(Source!CT45*Source!I45/IF(Source!BA45&lt;&gt;0,Source!BA45,1),2),2)</f>
        <v>0</v>
      </c>
      <c r="R110">
        <f>Source!X45</f>
        <v>0</v>
      </c>
      <c r="S110">
        <f>ROUND((Source!DO45/100)*ROUND(Source!CT45*Source!I45/IF(Source!BA45&lt;&gt;0,Source!BA45,1),2),2)</f>
        <v>0</v>
      </c>
      <c r="T110">
        <f>Source!Y45</f>
        <v>0</v>
      </c>
      <c r="U110">
        <f>ROUND((175/100)*ROUND(Source!CS45*Source!I45/IF(Source!BS45&lt;&gt;0,Source!BS45,1),2),2)</f>
        <v>0</v>
      </c>
      <c r="V110">
        <f>ROUND((169/100)*ROUND(Source!CS45*Source!I45,2),2)</f>
        <v>0</v>
      </c>
    </row>
    <row r="111" spans="1:11" ht="14.25">
      <c r="A111" s="24"/>
      <c r="B111" s="25"/>
      <c r="C111" s="26" t="s">
        <v>372</v>
      </c>
      <c r="D111" s="28" t="s">
        <v>373</v>
      </c>
      <c r="E111" s="27">
        <f>Source!BZ44</f>
        <v>85</v>
      </c>
      <c r="F111" s="30"/>
      <c r="G111" s="29"/>
      <c r="H111" s="27"/>
      <c r="I111" s="27"/>
      <c r="J111" s="31">
        <f>SUM(R107:R110)</f>
        <v>697.24</v>
      </c>
      <c r="K111" s="31"/>
    </row>
    <row r="112" spans="1:11" ht="14.25">
      <c r="A112" s="24"/>
      <c r="B112" s="25"/>
      <c r="C112" s="26" t="s">
        <v>374</v>
      </c>
      <c r="D112" s="28" t="s">
        <v>373</v>
      </c>
      <c r="E112" s="27">
        <f>Source!CA44</f>
        <v>44</v>
      </c>
      <c r="F112" s="30"/>
      <c r="G112" s="29"/>
      <c r="H112" s="27"/>
      <c r="I112" s="27"/>
      <c r="J112" s="31">
        <f>SUM(T107:T111)</f>
        <v>360.92</v>
      </c>
      <c r="K112" s="31"/>
    </row>
    <row r="113" spans="1:11" ht="14.25">
      <c r="A113" s="34"/>
      <c r="B113" s="35"/>
      <c r="C113" s="36" t="s">
        <v>375</v>
      </c>
      <c r="D113" s="37" t="s">
        <v>376</v>
      </c>
      <c r="E113" s="38">
        <f>Source!AQ44</f>
        <v>36</v>
      </c>
      <c r="F113" s="39"/>
      <c r="G113" s="40" t="str">
        <f>Source!DI44</f>
        <v>*1,15</v>
      </c>
      <c r="H113" s="38">
        <f>Source!AV44</f>
        <v>1</v>
      </c>
      <c r="I113" s="38"/>
      <c r="J113" s="41"/>
      <c r="K113" s="41">
        <f>Source!U44</f>
        <v>5.0508</v>
      </c>
    </row>
    <row r="114" spans="9:16" ht="15">
      <c r="I114" s="53">
        <f>Source!O44+SUM(J110:J112)</f>
        <v>1930.55</v>
      </c>
      <c r="J114" s="53"/>
      <c r="K114" s="33">
        <f>IF(Source!I44&lt;&gt;0,ROUND(I114/Source!I44,2),0)</f>
        <v>15824.18</v>
      </c>
      <c r="P114" s="32">
        <f>I114</f>
        <v>1930.55</v>
      </c>
    </row>
    <row r="115" spans="1:22" ht="99.75">
      <c r="A115" s="24" t="str">
        <f>Source!E46</f>
        <v>9</v>
      </c>
      <c r="B115" s="25" t="str">
        <f>Source!F46</f>
        <v>3.15-29-1</v>
      </c>
      <c r="C115" s="26" t="str">
        <f>Source!G46</f>
        <v>УСТРОЙСТВО ПОДВЕСНЫХ ПОТОЛКОВ ИЗ ДЕКОРАТИВНО-АКУСТИЧЕСКИХ ПЛИТ ПО ГОТОВОМУ КАРКАСУ С УСТАНОВКОЙ НАПРАВЛЯЮЩИХ ИЗ АЛЮМИНИЕВОГО ПРОФИЛЯ И ДЕТАЛЕЙ КРЕПЛЕНИЯ</v>
      </c>
      <c r="D115" s="28" t="str">
        <f>Source!DW46</f>
        <v>100 м2</v>
      </c>
      <c r="E115" s="27">
        <f>Source!I46</f>
        <v>0.3514</v>
      </c>
      <c r="F115" s="30"/>
      <c r="G115" s="29"/>
      <c r="H115" s="27"/>
      <c r="I115" s="27"/>
      <c r="J115" s="31"/>
      <c r="K115" s="31"/>
      <c r="Q115">
        <f>ROUND((Source!DN46/100)*ROUND(Source!CT46*Source!I46/IF(Source!BA46&lt;&gt;0,Source!BA46,1),2),2)</f>
        <v>846.37</v>
      </c>
      <c r="R115">
        <f>Source!X46</f>
        <v>9935.09</v>
      </c>
      <c r="S115">
        <f>ROUND((Source!DO46/100)*ROUND(Source!CT46*Source!I46/IF(Source!BA46&lt;&gt;0,Source!BA46,1),2),2)</f>
        <v>541.68</v>
      </c>
      <c r="T115">
        <f>Source!Y46</f>
        <v>5142.87</v>
      </c>
      <c r="U115">
        <f>ROUND((175/100)*ROUND(Source!CS46*Source!I46/IF(Source!BS46&lt;&gt;0,Source!BS46,1),2),2)</f>
        <v>3.03</v>
      </c>
      <c r="V115">
        <f>ROUND((169/100)*ROUND(Source!CS46*Source!I46,2),2)</f>
        <v>40.29</v>
      </c>
    </row>
    <row r="116" spans="1:11" ht="14.25">
      <c r="A116" s="24"/>
      <c r="B116" s="25"/>
      <c r="C116" s="26" t="s">
        <v>371</v>
      </c>
      <c r="D116" s="28"/>
      <c r="E116" s="27"/>
      <c r="F116" s="30">
        <f>Source!AO46</f>
        <v>2094.4</v>
      </c>
      <c r="G116" s="29" t="str">
        <f>Source!DG46</f>
        <v>*1,15</v>
      </c>
      <c r="H116" s="27">
        <f>Source!AV46</f>
        <v>1</v>
      </c>
      <c r="I116" s="27">
        <f>IF(Source!BA46&lt;&gt;0,Source!BA46,1)</f>
        <v>13.81</v>
      </c>
      <c r="J116" s="31">
        <f>Source!S46</f>
        <v>11688.34</v>
      </c>
      <c r="K116" s="31"/>
    </row>
    <row r="117" spans="1:11" ht="14.25">
      <c r="A117" s="24"/>
      <c r="B117" s="25"/>
      <c r="C117" s="26" t="s">
        <v>377</v>
      </c>
      <c r="D117" s="28"/>
      <c r="E117" s="27"/>
      <c r="F117" s="30">
        <f>Source!AM46</f>
        <v>19.66</v>
      </c>
      <c r="G117" s="29" t="str">
        <f>Source!DE46</f>
        <v>*1,25</v>
      </c>
      <c r="H117" s="27">
        <f>Source!AV46</f>
        <v>1</v>
      </c>
      <c r="I117" s="27">
        <f>IF(Source!BB46&lt;&gt;0,Source!BB46,1)</f>
        <v>5.88</v>
      </c>
      <c r="J117" s="31">
        <f>Source!Q46</f>
        <v>50.78</v>
      </c>
      <c r="K117" s="31"/>
    </row>
    <row r="118" spans="1:11" ht="14.25">
      <c r="A118" s="24"/>
      <c r="B118" s="25"/>
      <c r="C118" s="26" t="s">
        <v>378</v>
      </c>
      <c r="D118" s="28"/>
      <c r="E118" s="27"/>
      <c r="F118" s="30">
        <f>Source!AN46</f>
        <v>3.93</v>
      </c>
      <c r="G118" s="29" t="str">
        <f>Source!DF46</f>
        <v>*1,25</v>
      </c>
      <c r="H118" s="27">
        <f>Source!AV46</f>
        <v>1</v>
      </c>
      <c r="I118" s="27">
        <f>IF(Source!BS46&lt;&gt;0,Source!BS46,1)</f>
        <v>13.81</v>
      </c>
      <c r="J118" s="31">
        <f>Source!R46</f>
        <v>23.84</v>
      </c>
      <c r="K118" s="31"/>
    </row>
    <row r="119" spans="1:11" ht="14.25">
      <c r="A119" s="24"/>
      <c r="B119" s="25"/>
      <c r="C119" s="26" t="s">
        <v>379</v>
      </c>
      <c r="D119" s="28"/>
      <c r="E119" s="27"/>
      <c r="F119" s="30">
        <f>Source!AL46</f>
        <v>51.82</v>
      </c>
      <c r="G119" s="29">
        <f>Source!DD46</f>
      </c>
      <c r="H119" s="27">
        <f>Source!AW46</f>
        <v>1</v>
      </c>
      <c r="I119" s="27">
        <f>IF(Source!BC46&lt;&gt;0,Source!BC46,1)</f>
        <v>3.1</v>
      </c>
      <c r="J119" s="31">
        <f>Source!P46</f>
        <v>56.45</v>
      </c>
      <c r="K119" s="31"/>
    </row>
    <row r="120" spans="1:22" ht="28.5">
      <c r="A120" s="24" t="str">
        <f>Source!E47</f>
        <v>9,1</v>
      </c>
      <c r="B120" s="25" t="str">
        <f>Source!F47</f>
        <v>1.1-1-863</v>
      </c>
      <c r="C120" s="26" t="str">
        <f>Source!G47</f>
        <v>КОМПЛЕКТУЮЩИЕ К ПОДВЕСНЫМ ПОТОЛКАМ, ТИП 'АРМСТРОНГ'</v>
      </c>
      <c r="D120" s="28" t="str">
        <f>Source!DW47</f>
        <v>компл.</v>
      </c>
      <c r="E120" s="27">
        <f>Source!I47</f>
        <v>35.14</v>
      </c>
      <c r="F120" s="30">
        <f>Source!AK47</f>
        <v>21.28</v>
      </c>
      <c r="G120" s="29"/>
      <c r="H120" s="27">
        <f>Source!AW47</f>
        <v>1</v>
      </c>
      <c r="I120" s="27">
        <f>IF(Source!BC47&lt;&gt;0,Source!BC47,1)</f>
        <v>2.48</v>
      </c>
      <c r="J120" s="31">
        <f>Source!O47</f>
        <v>1854.49</v>
      </c>
      <c r="K120" s="31"/>
      <c r="Q120">
        <f>ROUND((Source!DN47/100)*ROUND(Source!CT47*Source!I47/IF(Source!BA47&lt;&gt;0,Source!BA47,1),2),2)</f>
        <v>0</v>
      </c>
      <c r="R120">
        <f>Source!X47</f>
        <v>0</v>
      </c>
      <c r="S120">
        <f>ROUND((Source!DO47/100)*ROUND(Source!CT47*Source!I47/IF(Source!BA47&lt;&gt;0,Source!BA47,1),2),2)</f>
        <v>0</v>
      </c>
      <c r="T120">
        <f>Source!Y47</f>
        <v>0</v>
      </c>
      <c r="U120">
        <f>ROUND((175/100)*ROUND(Source!CS47*Source!I47/IF(Source!BS47&lt;&gt;0,Source!BS47,1),2),2)</f>
        <v>0</v>
      </c>
      <c r="V120">
        <f>ROUND((169/100)*ROUND(Source!CS47*Source!I47,2),2)</f>
        <v>0</v>
      </c>
    </row>
    <row r="121" spans="1:22" ht="28.5">
      <c r="A121" s="24" t="str">
        <f>Source!E48</f>
        <v>9,2</v>
      </c>
      <c r="B121" s="25" t="str">
        <f>Source!F48</f>
        <v>1.1-1-862</v>
      </c>
      <c r="C121" s="26" t="str">
        <f>Source!G48</f>
        <v>ПЛИТЫ АКУСТИЧЕСКИЕ, МАРКА 'АРМСТРОНГ', ТИП 'BAIKAL'</v>
      </c>
      <c r="D121" s="28" t="str">
        <f>Source!DW48</f>
        <v>м2</v>
      </c>
      <c r="E121" s="27">
        <f>Source!I48</f>
        <v>35.14</v>
      </c>
      <c r="F121" s="30">
        <f>Source!AK48</f>
        <v>40.36</v>
      </c>
      <c r="G121" s="29"/>
      <c r="H121" s="27">
        <f>Source!AW48</f>
        <v>1</v>
      </c>
      <c r="I121" s="27">
        <f>IF(Source!BC48&lt;&gt;0,Source!BC48,1)</f>
        <v>3.68</v>
      </c>
      <c r="J121" s="31">
        <f>Source!O48</f>
        <v>5219.16</v>
      </c>
      <c r="K121" s="31"/>
      <c r="Q121">
        <f>ROUND((Source!DN48/100)*ROUND(Source!CT48*Source!I48/IF(Source!BA48&lt;&gt;0,Source!BA48,1),2),2)</f>
        <v>0</v>
      </c>
      <c r="R121">
        <f>Source!X48</f>
        <v>0</v>
      </c>
      <c r="S121">
        <f>ROUND((Source!DO48/100)*ROUND(Source!CT48*Source!I48/IF(Source!BA48&lt;&gt;0,Source!BA48,1),2),2)</f>
        <v>0</v>
      </c>
      <c r="T121">
        <f>Source!Y48</f>
        <v>0</v>
      </c>
      <c r="U121">
        <f>ROUND((175/100)*ROUND(Source!CS48*Source!I48/IF(Source!BS48&lt;&gt;0,Source!BS48,1),2),2)</f>
        <v>0</v>
      </c>
      <c r="V121">
        <f>ROUND((169/100)*ROUND(Source!CS48*Source!I48,2),2)</f>
        <v>0</v>
      </c>
    </row>
    <row r="122" spans="1:11" ht="14.25">
      <c r="A122" s="24"/>
      <c r="B122" s="25"/>
      <c r="C122" s="26" t="s">
        <v>372</v>
      </c>
      <c r="D122" s="28" t="s">
        <v>373</v>
      </c>
      <c r="E122" s="27">
        <f>Source!BZ46</f>
        <v>85</v>
      </c>
      <c r="F122" s="30"/>
      <c r="G122" s="29"/>
      <c r="H122" s="27"/>
      <c r="I122" s="27"/>
      <c r="J122" s="31">
        <f>SUM(R115:R121)</f>
        <v>9935.09</v>
      </c>
      <c r="K122" s="31"/>
    </row>
    <row r="123" spans="1:11" ht="14.25">
      <c r="A123" s="24"/>
      <c r="B123" s="25"/>
      <c r="C123" s="26" t="s">
        <v>374</v>
      </c>
      <c r="D123" s="28" t="s">
        <v>373</v>
      </c>
      <c r="E123" s="27">
        <f>Source!CA46</f>
        <v>44</v>
      </c>
      <c r="F123" s="30"/>
      <c r="G123" s="29"/>
      <c r="H123" s="27"/>
      <c r="I123" s="27"/>
      <c r="J123" s="31">
        <f>SUM(T115:T122)</f>
        <v>5142.87</v>
      </c>
      <c r="K123" s="31"/>
    </row>
    <row r="124" spans="1:11" ht="14.25">
      <c r="A124" s="24"/>
      <c r="B124" s="25"/>
      <c r="C124" s="26" t="s">
        <v>380</v>
      </c>
      <c r="D124" s="28" t="s">
        <v>373</v>
      </c>
      <c r="E124" s="27">
        <f>169</f>
        <v>169</v>
      </c>
      <c r="F124" s="30"/>
      <c r="G124" s="29"/>
      <c r="H124" s="27"/>
      <c r="I124" s="27"/>
      <c r="J124" s="31">
        <f>SUM(V115:V123)</f>
        <v>40.29</v>
      </c>
      <c r="K124" s="31"/>
    </row>
    <row r="125" spans="1:11" ht="14.25">
      <c r="A125" s="34"/>
      <c r="B125" s="35"/>
      <c r="C125" s="36" t="s">
        <v>375</v>
      </c>
      <c r="D125" s="37" t="s">
        <v>376</v>
      </c>
      <c r="E125" s="38">
        <f>Source!AQ46</f>
        <v>176</v>
      </c>
      <c r="F125" s="39"/>
      <c r="G125" s="40" t="str">
        <f>Source!DI46</f>
        <v>*1,15</v>
      </c>
      <c r="H125" s="38">
        <f>Source!AV46</f>
        <v>1</v>
      </c>
      <c r="I125" s="38"/>
      <c r="J125" s="41"/>
      <c r="K125" s="41">
        <f>Source!U46</f>
        <v>71.12335999999999</v>
      </c>
    </row>
    <row r="126" spans="9:16" ht="15">
      <c r="I126" s="53">
        <f>Source!O46+SUM(J120:J124)</f>
        <v>33987.47</v>
      </c>
      <c r="J126" s="53"/>
      <c r="K126" s="33">
        <f>IF(Source!I46&lt;&gt;0,ROUND(I126/Source!I46,2),0)</f>
        <v>96720.18</v>
      </c>
      <c r="P126" s="32">
        <f>I126</f>
        <v>33987.47</v>
      </c>
    </row>
    <row r="127" spans="1:22" ht="42.75">
      <c r="A127" s="24" t="str">
        <f>Source!E49</f>
        <v>10</v>
      </c>
      <c r="B127" s="25" t="str">
        <f>Source!F49</f>
        <v>6.62-31-1</v>
      </c>
      <c r="C127" s="26" t="str">
        <f>Source!G49</f>
        <v>РАСЧИСТКА ПОВЕРХНОСТЕЙ ОТ СТАРЫХ ПОКРАСОК (ШПАТЕЛЕМ, ЩЕТКАМИ И Т.Д.)</v>
      </c>
      <c r="D127" s="28" t="str">
        <f>Source!DW49</f>
        <v>м2</v>
      </c>
      <c r="E127" s="27">
        <f>Source!I49</f>
        <v>357.6</v>
      </c>
      <c r="F127" s="30"/>
      <c r="G127" s="29"/>
      <c r="H127" s="27"/>
      <c r="I127" s="27"/>
      <c r="J127" s="31"/>
      <c r="K127" s="31"/>
      <c r="Q127">
        <f>ROUND((Source!DN49/100)*ROUND(Source!CT49*Source!I49/IF(Source!BA49&lt;&gt;0,Source!BA49,1),2),2)</f>
        <v>2192.09</v>
      </c>
      <c r="R127">
        <f>Source!X49</f>
        <v>25731.83</v>
      </c>
      <c r="S127">
        <f>ROUND((Source!DO49/100)*ROUND(Source!CT49*Source!I49/IF(Source!BA49&lt;&gt;0,Source!BA49,1),2),2)</f>
        <v>1402.94</v>
      </c>
      <c r="T127">
        <f>Source!Y49</f>
        <v>13320.01</v>
      </c>
      <c r="U127">
        <f>ROUND((175/100)*ROUND(Source!CS49*Source!I49/IF(Source!BS49&lt;&gt;0,Source!BS49,1),2),2)</f>
        <v>0</v>
      </c>
      <c r="V127">
        <f>ROUND((169/100)*ROUND(Source!CS49*Source!I49,2),2)</f>
        <v>0</v>
      </c>
    </row>
    <row r="128" spans="1:11" ht="14.25">
      <c r="A128" s="24"/>
      <c r="B128" s="25"/>
      <c r="C128" s="26" t="s">
        <v>371</v>
      </c>
      <c r="D128" s="28"/>
      <c r="E128" s="27"/>
      <c r="F128" s="30">
        <f>Source!AO49</f>
        <v>6.13</v>
      </c>
      <c r="G128" s="29">
        <f>Source!DG49</f>
      </c>
      <c r="H128" s="27">
        <f>Source!AV49</f>
        <v>1</v>
      </c>
      <c r="I128" s="27">
        <f>IF(Source!BA49&lt;&gt;0,Source!BA49,1)</f>
        <v>13.81</v>
      </c>
      <c r="J128" s="31">
        <f>Source!S49</f>
        <v>30272.74</v>
      </c>
      <c r="K128" s="31"/>
    </row>
    <row r="129" spans="1:11" ht="14.25">
      <c r="A129" s="24"/>
      <c r="B129" s="25"/>
      <c r="C129" s="26" t="s">
        <v>372</v>
      </c>
      <c r="D129" s="28" t="s">
        <v>373</v>
      </c>
      <c r="E129" s="27">
        <f>Source!BZ49</f>
        <v>85</v>
      </c>
      <c r="F129" s="30"/>
      <c r="G129" s="29"/>
      <c r="H129" s="27"/>
      <c r="I129" s="27"/>
      <c r="J129" s="31">
        <f>SUM(R127:R128)</f>
        <v>25731.83</v>
      </c>
      <c r="K129" s="31"/>
    </row>
    <row r="130" spans="1:11" ht="14.25">
      <c r="A130" s="24"/>
      <c r="B130" s="25"/>
      <c r="C130" s="26" t="s">
        <v>374</v>
      </c>
      <c r="D130" s="28" t="s">
        <v>373</v>
      </c>
      <c r="E130" s="27">
        <f>Source!CA49</f>
        <v>44</v>
      </c>
      <c r="F130" s="30"/>
      <c r="G130" s="29"/>
      <c r="H130" s="27"/>
      <c r="I130" s="27"/>
      <c r="J130" s="31">
        <f>SUM(T127:T129)</f>
        <v>13320.01</v>
      </c>
      <c r="K130" s="31"/>
    </row>
    <row r="131" spans="1:11" ht="14.25">
      <c r="A131" s="34"/>
      <c r="B131" s="35"/>
      <c r="C131" s="36" t="s">
        <v>375</v>
      </c>
      <c r="D131" s="37" t="s">
        <v>376</v>
      </c>
      <c r="E131" s="38">
        <f>Source!AQ49</f>
        <v>0.6</v>
      </c>
      <c r="F131" s="39"/>
      <c r="G131" s="40">
        <f>Source!DI49</f>
      </c>
      <c r="H131" s="38">
        <f>Source!AV49</f>
        <v>1</v>
      </c>
      <c r="I131" s="38"/>
      <c r="J131" s="41"/>
      <c r="K131" s="41">
        <f>Source!U49</f>
        <v>214.56</v>
      </c>
    </row>
    <row r="132" spans="9:16" ht="15">
      <c r="I132" s="53">
        <f>Source!O49+SUM(J129:J130)</f>
        <v>69324.58</v>
      </c>
      <c r="J132" s="53"/>
      <c r="K132" s="33">
        <f>IF(Source!I49&lt;&gt;0,ROUND(I132/Source!I49,2),0)</f>
        <v>193.86</v>
      </c>
      <c r="P132" s="32">
        <f>I132</f>
        <v>69324.58</v>
      </c>
    </row>
    <row r="133" spans="1:22" ht="57">
      <c r="A133" s="24" t="str">
        <f>Source!E50</f>
        <v>11</v>
      </c>
      <c r="B133" s="25" t="str">
        <f>Source!F50</f>
        <v>3.15-165-1</v>
      </c>
      <c r="C133" s="26" t="str">
        <f>Source!G50</f>
        <v>ОБРАБОТКА ПОВЕРХНОСТЕЙ СТЕН ГРУНТОВКОЙ ГЛУБОКОГО ПРОНИКНОВЕНИЯ ВНУТРИ ПОМЕЩЕНИЯ</v>
      </c>
      <c r="D133" s="28" t="str">
        <f>Source!DW50</f>
        <v>100 м2</v>
      </c>
      <c r="E133" s="27">
        <f>Source!I50</f>
        <v>3.987</v>
      </c>
      <c r="F133" s="30"/>
      <c r="G133" s="29"/>
      <c r="H133" s="27"/>
      <c r="I133" s="27"/>
      <c r="J133" s="31"/>
      <c r="K133" s="31"/>
      <c r="Q133">
        <f>ROUND((Source!DN50/100)*ROUND(Source!CT50*Source!I50/IF(Source!BA50&lt;&gt;0,Source!BA50,1),2),2)</f>
        <v>238.33</v>
      </c>
      <c r="R133">
        <f>Source!X50</f>
        <v>2797.65</v>
      </c>
      <c r="S133">
        <f>ROUND((Source!DO50/100)*ROUND(Source!CT50*Source!I50/IF(Source!BA50&lt;&gt;0,Source!BA50,1),2),2)</f>
        <v>152.53</v>
      </c>
      <c r="T133">
        <f>Source!Y50</f>
        <v>1448.19</v>
      </c>
      <c r="U133">
        <f>ROUND((175/100)*ROUND(Source!CS50*Source!I50/IF(Source!BS50&lt;&gt;0,Source!BS50,1),2),2)</f>
        <v>1.58</v>
      </c>
      <c r="V133">
        <f>ROUND((169/100)*ROUND(Source!CS50*Source!I50,2),2)</f>
        <v>20.94</v>
      </c>
    </row>
    <row r="134" spans="1:11" ht="14.25">
      <c r="A134" s="24"/>
      <c r="B134" s="25"/>
      <c r="C134" s="26" t="s">
        <v>371</v>
      </c>
      <c r="D134" s="28"/>
      <c r="E134" s="27"/>
      <c r="F134" s="30">
        <f>Source!AO50</f>
        <v>51.98</v>
      </c>
      <c r="G134" s="29" t="str">
        <f>Source!DG50</f>
        <v>*1,15</v>
      </c>
      <c r="H134" s="27">
        <f>Source!AV50</f>
        <v>1</v>
      </c>
      <c r="I134" s="27">
        <f>IF(Source!BA50&lt;&gt;0,Source!BA50,1)</f>
        <v>13.81</v>
      </c>
      <c r="J134" s="31">
        <f>Source!S50</f>
        <v>3291.35</v>
      </c>
      <c r="K134" s="31"/>
    </row>
    <row r="135" spans="1:11" ht="14.25">
      <c r="A135" s="24"/>
      <c r="B135" s="25"/>
      <c r="C135" s="26" t="s">
        <v>377</v>
      </c>
      <c r="D135" s="28"/>
      <c r="E135" s="27"/>
      <c r="F135" s="30">
        <f>Source!AM50</f>
        <v>0.8</v>
      </c>
      <c r="G135" s="29" t="str">
        <f>Source!DE50</f>
        <v>*1,25</v>
      </c>
      <c r="H135" s="27">
        <f>Source!AV50</f>
        <v>1</v>
      </c>
      <c r="I135" s="27">
        <f>IF(Source!BB50&lt;&gt;0,Source!BB50,1)</f>
        <v>7.62</v>
      </c>
      <c r="J135" s="31">
        <f>Source!Q50</f>
        <v>30.38</v>
      </c>
      <c r="K135" s="31"/>
    </row>
    <row r="136" spans="1:11" ht="14.25">
      <c r="A136" s="24"/>
      <c r="B136" s="25"/>
      <c r="C136" s="26" t="s">
        <v>378</v>
      </c>
      <c r="D136" s="28"/>
      <c r="E136" s="27"/>
      <c r="F136" s="30">
        <f>Source!AN50</f>
        <v>0.18</v>
      </c>
      <c r="G136" s="29" t="str">
        <f>Source!DF50</f>
        <v>*1,25</v>
      </c>
      <c r="H136" s="27">
        <f>Source!AV50</f>
        <v>1</v>
      </c>
      <c r="I136" s="27">
        <f>IF(Source!BS50&lt;&gt;0,Source!BS50,1)</f>
        <v>13.81</v>
      </c>
      <c r="J136" s="31">
        <f>Source!R50</f>
        <v>12.39</v>
      </c>
      <c r="K136" s="31"/>
    </row>
    <row r="137" spans="1:22" ht="71.25">
      <c r="A137" s="24" t="str">
        <f>Source!E51</f>
        <v>11,1</v>
      </c>
      <c r="B137" s="25" t="str">
        <f>Source!F51</f>
        <v>1.1-1-1855</v>
      </c>
      <c r="C137" s="26" t="str">
        <f>Source!G51</f>
        <v>ГРУНТОВКА НА ОСНОВЕ МАЛОЩЕЛОЧНЫХ СОЕДИНЕНИЙ КРЕМНЕВОЙ КИСЛОТЫ ДЛЯ ГЛУБОКОГО ПРОНИКНОВЕНИЯ В ОСНОВАНИЕ</v>
      </c>
      <c r="D137" s="28" t="str">
        <f>Source!DW51</f>
        <v>кг</v>
      </c>
      <c r="E137" s="27">
        <f>Source!I51</f>
        <v>41.066100000000006</v>
      </c>
      <c r="F137" s="30">
        <f>Source!AK51</f>
        <v>87.66</v>
      </c>
      <c r="G137" s="29"/>
      <c r="H137" s="27">
        <f>Source!AW51</f>
        <v>1</v>
      </c>
      <c r="I137" s="27">
        <f>IF(Source!BC51&lt;&gt;0,Source!BC51,1)</f>
        <v>3.57</v>
      </c>
      <c r="J137" s="31">
        <f>Source!O51</f>
        <v>12851.48</v>
      </c>
      <c r="K137" s="31"/>
      <c r="Q137">
        <f>ROUND((Source!DN51/100)*ROUND(Source!CT51*Source!I51/IF(Source!BA51&lt;&gt;0,Source!BA51,1),2),2)</f>
        <v>0</v>
      </c>
      <c r="R137">
        <f>Source!X51</f>
        <v>0</v>
      </c>
      <c r="S137">
        <f>ROUND((Source!DO51/100)*ROUND(Source!CT51*Source!I51/IF(Source!BA51&lt;&gt;0,Source!BA51,1),2),2)</f>
        <v>0</v>
      </c>
      <c r="T137">
        <f>Source!Y51</f>
        <v>0</v>
      </c>
      <c r="U137">
        <f>ROUND((175/100)*ROUND(Source!CS51*Source!I51/IF(Source!BS51&lt;&gt;0,Source!BS51,1),2),2)</f>
        <v>0</v>
      </c>
      <c r="V137">
        <f>ROUND((169/100)*ROUND(Source!CS51*Source!I51,2),2)</f>
        <v>0</v>
      </c>
    </row>
    <row r="138" spans="1:11" ht="14.25">
      <c r="A138" s="24"/>
      <c r="B138" s="25"/>
      <c r="C138" s="26" t="s">
        <v>372</v>
      </c>
      <c r="D138" s="28" t="s">
        <v>373</v>
      </c>
      <c r="E138" s="27">
        <f>Source!BZ50</f>
        <v>85</v>
      </c>
      <c r="F138" s="30"/>
      <c r="G138" s="29"/>
      <c r="H138" s="27"/>
      <c r="I138" s="27"/>
      <c r="J138" s="31">
        <f>SUM(R133:R137)</f>
        <v>2797.65</v>
      </c>
      <c r="K138" s="31"/>
    </row>
    <row r="139" spans="1:11" ht="14.25">
      <c r="A139" s="24"/>
      <c r="B139" s="25"/>
      <c r="C139" s="26" t="s">
        <v>374</v>
      </c>
      <c r="D139" s="28" t="s">
        <v>373</v>
      </c>
      <c r="E139" s="27">
        <f>Source!CA50</f>
        <v>44</v>
      </c>
      <c r="F139" s="30"/>
      <c r="G139" s="29"/>
      <c r="H139" s="27"/>
      <c r="I139" s="27"/>
      <c r="J139" s="31">
        <f>SUM(T133:T138)</f>
        <v>1448.19</v>
      </c>
      <c r="K139" s="31"/>
    </row>
    <row r="140" spans="1:11" ht="14.25">
      <c r="A140" s="24"/>
      <c r="B140" s="25"/>
      <c r="C140" s="26" t="s">
        <v>380</v>
      </c>
      <c r="D140" s="28" t="s">
        <v>373</v>
      </c>
      <c r="E140" s="27">
        <f>169</f>
        <v>169</v>
      </c>
      <c r="F140" s="30"/>
      <c r="G140" s="29"/>
      <c r="H140" s="27"/>
      <c r="I140" s="27"/>
      <c r="J140" s="31">
        <f>SUM(V133:V139)</f>
        <v>20.94</v>
      </c>
      <c r="K140" s="31"/>
    </row>
    <row r="141" spans="1:11" ht="14.25">
      <c r="A141" s="34"/>
      <c r="B141" s="35"/>
      <c r="C141" s="36" t="s">
        <v>375</v>
      </c>
      <c r="D141" s="37" t="s">
        <v>376</v>
      </c>
      <c r="E141" s="38">
        <f>Source!AQ50</f>
        <v>4.65</v>
      </c>
      <c r="F141" s="39"/>
      <c r="G141" s="40" t="str">
        <f>Source!DI50</f>
        <v>*1,15</v>
      </c>
      <c r="H141" s="38">
        <f>Source!AV50</f>
        <v>1</v>
      </c>
      <c r="I141" s="38"/>
      <c r="J141" s="41"/>
      <c r="K141" s="41">
        <f>Source!U50</f>
        <v>21.3204825</v>
      </c>
    </row>
    <row r="142" spans="9:16" ht="15">
      <c r="I142" s="53">
        <f>Source!O50+SUM(J137:J140)</f>
        <v>20439.989999999998</v>
      </c>
      <c r="J142" s="53"/>
      <c r="K142" s="33">
        <f>IF(Source!I50&lt;&gt;0,ROUND(I142/Source!I50,2),0)</f>
        <v>5126.66</v>
      </c>
      <c r="P142" s="32">
        <f>I142</f>
        <v>20439.989999999998</v>
      </c>
    </row>
    <row r="143" spans="1:22" ht="14.25">
      <c r="A143" s="24" t="str">
        <f>Source!E52</f>
        <v>12</v>
      </c>
      <c r="B143" s="25" t="str">
        <f>Source!F52</f>
        <v>3.15-96-9</v>
      </c>
      <c r="C143" s="26" t="str">
        <f>Source!G52</f>
        <v>ШПАТЛЕВКА И  ОКРАСКА  СТЕН</v>
      </c>
      <c r="D143" s="28" t="str">
        <f>Source!DW52</f>
        <v>100 м2</v>
      </c>
      <c r="E143" s="27">
        <f>Source!I52</f>
        <v>3.987</v>
      </c>
      <c r="F143" s="30"/>
      <c r="G143" s="29"/>
      <c r="H143" s="27"/>
      <c r="I143" s="27"/>
      <c r="J143" s="31"/>
      <c r="K143" s="31"/>
      <c r="Q143">
        <f>ROUND((Source!DN52/100)*ROUND(Source!CT52*Source!I52/IF(Source!BA52&lt;&gt;0,Source!BA52,1),2),2)</f>
        <v>2416.69</v>
      </c>
      <c r="R143">
        <f>Source!X52</f>
        <v>28368.29</v>
      </c>
      <c r="S143">
        <f>ROUND((Source!DO52/100)*ROUND(Source!CT52*Source!I52/IF(Source!BA52&lt;&gt;0,Source!BA52,1),2),2)</f>
        <v>1546.68</v>
      </c>
      <c r="T143">
        <f>Source!Y52</f>
        <v>14684.76</v>
      </c>
      <c r="U143">
        <f>ROUND((175/100)*ROUND(Source!CS52*Source!I52/IF(Source!BS52&lt;&gt;0,Source!BS52,1),2),2)</f>
        <v>59.83</v>
      </c>
      <c r="V143">
        <f>ROUND((169/100)*ROUND(Source!CS52*Source!I52,2),2)</f>
        <v>797.92</v>
      </c>
    </row>
    <row r="144" spans="1:11" ht="14.25">
      <c r="A144" s="24"/>
      <c r="B144" s="25"/>
      <c r="C144" s="26" t="s">
        <v>371</v>
      </c>
      <c r="D144" s="28"/>
      <c r="E144" s="27"/>
      <c r="F144" s="30">
        <f>Source!AO52</f>
        <v>527.08</v>
      </c>
      <c r="G144" s="29" t="str">
        <f>Source!DG52</f>
        <v>*1,15</v>
      </c>
      <c r="H144" s="27">
        <f>Source!AV52</f>
        <v>1</v>
      </c>
      <c r="I144" s="27">
        <f>IF(Source!BA52&lt;&gt;0,Source!BA52,1)</f>
        <v>13.81</v>
      </c>
      <c r="J144" s="31">
        <f>Source!S52</f>
        <v>33374.46</v>
      </c>
      <c r="K144" s="31"/>
    </row>
    <row r="145" spans="1:11" ht="14.25">
      <c r="A145" s="24"/>
      <c r="B145" s="25"/>
      <c r="C145" s="26" t="s">
        <v>377</v>
      </c>
      <c r="D145" s="28"/>
      <c r="E145" s="27"/>
      <c r="F145" s="30">
        <f>Source!AM52</f>
        <v>29.03</v>
      </c>
      <c r="G145" s="29" t="str">
        <f>Source!DE52</f>
        <v>*1,25</v>
      </c>
      <c r="H145" s="27">
        <f>Source!AV52</f>
        <v>1</v>
      </c>
      <c r="I145" s="27">
        <f>IF(Source!BB52&lt;&gt;0,Source!BB52,1)</f>
        <v>7.92</v>
      </c>
      <c r="J145" s="31">
        <f>Source!Q52</f>
        <v>1145.85</v>
      </c>
      <c r="K145" s="31"/>
    </row>
    <row r="146" spans="1:11" ht="14.25">
      <c r="A146" s="24"/>
      <c r="B146" s="25"/>
      <c r="C146" s="26" t="s">
        <v>378</v>
      </c>
      <c r="D146" s="28"/>
      <c r="E146" s="27"/>
      <c r="F146" s="30">
        <f>Source!AN52</f>
        <v>6.86</v>
      </c>
      <c r="G146" s="29" t="str">
        <f>Source!DF52</f>
        <v>*1,25</v>
      </c>
      <c r="H146" s="27">
        <f>Source!AV52</f>
        <v>1</v>
      </c>
      <c r="I146" s="27">
        <f>IF(Source!BS52&lt;&gt;0,Source!BS52,1)</f>
        <v>13.81</v>
      </c>
      <c r="J146" s="31">
        <f>Source!R52</f>
        <v>472.14</v>
      </c>
      <c r="K146" s="31"/>
    </row>
    <row r="147" spans="1:11" ht="14.25">
      <c r="A147" s="24"/>
      <c r="B147" s="25"/>
      <c r="C147" s="26" t="s">
        <v>379</v>
      </c>
      <c r="D147" s="28"/>
      <c r="E147" s="27"/>
      <c r="F147" s="30">
        <f>Source!AL52</f>
        <v>12.18</v>
      </c>
      <c r="G147" s="29">
        <f>Source!DD52</f>
      </c>
      <c r="H147" s="27">
        <f>Source!AW52</f>
        <v>1</v>
      </c>
      <c r="I147" s="27">
        <f>IF(Source!BC52&lt;&gt;0,Source!BC52,1)</f>
        <v>4.56</v>
      </c>
      <c r="J147" s="31">
        <f>Source!P52</f>
        <v>221.44</v>
      </c>
      <c r="K147" s="31"/>
    </row>
    <row r="148" spans="1:22" ht="28.5">
      <c r="A148" s="24" t="str">
        <f>Source!E53</f>
        <v>12,1</v>
      </c>
      <c r="B148" s="25" t="str">
        <f>Source!F53</f>
        <v>1.1-1-1478</v>
      </c>
      <c r="C148" s="26" t="str">
        <f>Source!G53</f>
        <v>ШПАТЛЕВКА ВОДНО-ДИСПЕРСИОННАЯ АКРИЛОВАЯ</v>
      </c>
      <c r="D148" s="28" t="str">
        <f>Source!DW53</f>
        <v>т</v>
      </c>
      <c r="E148" s="27">
        <f>Source!I53</f>
        <v>0.135558</v>
      </c>
      <c r="F148" s="30">
        <f>Source!AK53</f>
        <v>13953.6</v>
      </c>
      <c r="G148" s="29"/>
      <c r="H148" s="27">
        <f>Source!AW53</f>
        <v>1</v>
      </c>
      <c r="I148" s="27">
        <f>IF(Source!BC53&lt;&gt;0,Source!BC53,1)</f>
        <v>2.66</v>
      </c>
      <c r="J148" s="31">
        <f>Source!O53</f>
        <v>5031.45</v>
      </c>
      <c r="K148" s="31"/>
      <c r="Q148">
        <f>ROUND((Source!DN53/100)*ROUND(Source!CT53*Source!I53/IF(Source!BA53&lt;&gt;0,Source!BA53,1),2),2)</f>
        <v>0</v>
      </c>
      <c r="R148">
        <f>Source!X53</f>
        <v>0</v>
      </c>
      <c r="S148">
        <f>ROUND((Source!DO53/100)*ROUND(Source!CT53*Source!I53/IF(Source!BA53&lt;&gt;0,Source!BA53,1),2),2)</f>
        <v>0</v>
      </c>
      <c r="T148">
        <f>Source!Y53</f>
        <v>0</v>
      </c>
      <c r="U148">
        <f>ROUND((175/100)*ROUND(Source!CS53*Source!I53/IF(Source!BS53&lt;&gt;0,Source!BS53,1),2),2)</f>
        <v>0</v>
      </c>
      <c r="V148">
        <f>ROUND((169/100)*ROUND(Source!CS53*Source!I53,2),2)</f>
        <v>0</v>
      </c>
    </row>
    <row r="149" spans="1:22" ht="28.5">
      <c r="A149" s="24" t="str">
        <f>Source!E54</f>
        <v>12,2</v>
      </c>
      <c r="B149" s="25" t="str">
        <f>Source!F54</f>
        <v>1.1-1-2180</v>
      </c>
      <c r="C149" s="26" t="str">
        <f>Source!G54</f>
        <v>КРАСКИ ВОДНО-ДИСПЕРСИОННЫЕ ДЛЯ ВНУТРЕННИХ РАБОТ</v>
      </c>
      <c r="D149" s="28" t="str">
        <f>Source!DW54</f>
        <v>т</v>
      </c>
      <c r="E149" s="27">
        <f>Source!I54</f>
        <v>0.251181</v>
      </c>
      <c r="F149" s="30">
        <f>Source!AK54</f>
        <v>33030.4</v>
      </c>
      <c r="G149" s="29"/>
      <c r="H149" s="27">
        <f>Source!AW54</f>
        <v>1</v>
      </c>
      <c r="I149" s="27">
        <f>IF(Source!BC54&lt;&gt;0,Source!BC54,1)</f>
        <v>2.34</v>
      </c>
      <c r="J149" s="31">
        <f>Source!O54</f>
        <v>19414.06</v>
      </c>
      <c r="K149" s="31"/>
      <c r="Q149">
        <f>ROUND((Source!DN54/100)*ROUND(Source!CT54*Source!I54/IF(Source!BA54&lt;&gt;0,Source!BA54,1),2),2)</f>
        <v>0</v>
      </c>
      <c r="R149">
        <f>Source!X54</f>
        <v>0</v>
      </c>
      <c r="S149">
        <f>ROUND((Source!DO54/100)*ROUND(Source!CT54*Source!I54/IF(Source!BA54&lt;&gt;0,Source!BA54,1),2),2)</f>
        <v>0</v>
      </c>
      <c r="T149">
        <f>Source!Y54</f>
        <v>0</v>
      </c>
      <c r="U149">
        <f>ROUND((175/100)*ROUND(Source!CS54*Source!I54/IF(Source!BS54&lt;&gt;0,Source!BS54,1),2),2)</f>
        <v>0</v>
      </c>
      <c r="V149">
        <f>ROUND((169/100)*ROUND(Source!CS54*Source!I54,2),2)</f>
        <v>0</v>
      </c>
    </row>
    <row r="150" spans="1:11" ht="14.25">
      <c r="A150" s="24"/>
      <c r="B150" s="25"/>
      <c r="C150" s="26" t="s">
        <v>372</v>
      </c>
      <c r="D150" s="28" t="s">
        <v>373</v>
      </c>
      <c r="E150" s="27">
        <f>Source!BZ52</f>
        <v>85</v>
      </c>
      <c r="F150" s="30"/>
      <c r="G150" s="29"/>
      <c r="H150" s="27"/>
      <c r="I150" s="27"/>
      <c r="J150" s="31">
        <f>SUM(R143:R149)</f>
        <v>28368.29</v>
      </c>
      <c r="K150" s="31"/>
    </row>
    <row r="151" spans="1:11" ht="14.25">
      <c r="A151" s="24"/>
      <c r="B151" s="25"/>
      <c r="C151" s="26" t="s">
        <v>374</v>
      </c>
      <c r="D151" s="28" t="s">
        <v>373</v>
      </c>
      <c r="E151" s="27">
        <f>Source!CA52</f>
        <v>44</v>
      </c>
      <c r="F151" s="30"/>
      <c r="G151" s="29"/>
      <c r="H151" s="27"/>
      <c r="I151" s="27"/>
      <c r="J151" s="31">
        <f>SUM(T143:T150)</f>
        <v>14684.76</v>
      </c>
      <c r="K151" s="31"/>
    </row>
    <row r="152" spans="1:11" ht="14.25">
      <c r="A152" s="24"/>
      <c r="B152" s="25"/>
      <c r="C152" s="26" t="s">
        <v>380</v>
      </c>
      <c r="D152" s="28" t="s">
        <v>373</v>
      </c>
      <c r="E152" s="27">
        <f>169</f>
        <v>169</v>
      </c>
      <c r="F152" s="30"/>
      <c r="G152" s="29"/>
      <c r="H152" s="27"/>
      <c r="I152" s="27"/>
      <c r="J152" s="31">
        <f>SUM(V143:V151)</f>
        <v>797.92</v>
      </c>
      <c r="K152" s="31"/>
    </row>
    <row r="153" spans="1:11" ht="14.25">
      <c r="A153" s="34"/>
      <c r="B153" s="35"/>
      <c r="C153" s="36" t="s">
        <v>375</v>
      </c>
      <c r="D153" s="37" t="s">
        <v>376</v>
      </c>
      <c r="E153" s="38">
        <f>Source!AQ52</f>
        <v>42.2</v>
      </c>
      <c r="F153" s="39"/>
      <c r="G153" s="40" t="str">
        <f>Source!DI52</f>
        <v>*1,15</v>
      </c>
      <c r="H153" s="38">
        <f>Source!AV52</f>
        <v>1</v>
      </c>
      <c r="I153" s="38"/>
      <c r="J153" s="41"/>
      <c r="K153" s="41">
        <f>Source!U52</f>
        <v>193.48911</v>
      </c>
    </row>
    <row r="154" spans="9:16" ht="15">
      <c r="I154" s="53">
        <f>Source!O52+SUM(J148:J152)</f>
        <v>103038.23</v>
      </c>
      <c r="J154" s="53"/>
      <c r="K154" s="33">
        <f>IF(Source!I52&lt;&gt;0,ROUND(I154/Source!I52,2),0)</f>
        <v>25843.55</v>
      </c>
      <c r="P154" s="32">
        <f>I154</f>
        <v>103038.23</v>
      </c>
    </row>
    <row r="156" spans="1:32" ht="15">
      <c r="A156" s="55" t="str">
        <f>CONCATENATE("Итого по разделу: ",Source!G56)</f>
        <v>Итого по разделу: Текущий ремонт помещения IX (вход 2, 1 этаж) </v>
      </c>
      <c r="B156" s="55"/>
      <c r="C156" s="55"/>
      <c r="D156" s="55"/>
      <c r="E156" s="55"/>
      <c r="F156" s="55"/>
      <c r="G156" s="55"/>
      <c r="H156" s="55"/>
      <c r="I156" s="53">
        <f>SUM(P36:P155)</f>
        <v>295740.27999999997</v>
      </c>
      <c r="J156" s="54"/>
      <c r="K156" s="42"/>
      <c r="AF156" s="43" t="str">
        <f>CONCATENATE("Итого по разделу: ",Source!G56)</f>
        <v>Итого по разделу: Текущий ремонт помещения IX (вход 2, 1 этаж) </v>
      </c>
    </row>
    <row r="159" spans="1:31" ht="16.5">
      <c r="A159" s="56" t="str">
        <f>CONCATENATE("Раздел: ",Source!G77)</f>
        <v>Раздел: Текущий ремонт электрощитовой (помещение № 113)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AE159" s="23" t="str">
        <f>CONCATENATE("Раздел: ",Source!G77)</f>
        <v>Раздел: Текущий ремонт электрощитовой (помещение № 113)</v>
      </c>
    </row>
    <row r="160" spans="1:22" ht="42.75">
      <c r="A160" s="24" t="str">
        <f>Source!E81</f>
        <v>1</v>
      </c>
      <c r="B160" s="25" t="str">
        <f>Source!F81</f>
        <v>6.61-26-2</v>
      </c>
      <c r="C160" s="26" t="str">
        <f>Source!G81</f>
        <v>ОТБИВКА ШТУКАТУРКИ ПО КИРПИЧУ И БЕТОНУ СТЕН, ПОТОЛКОВ ПЛОЩАДЬЮ БОЛЕЕ 5 М2</v>
      </c>
      <c r="D160" s="28" t="str">
        <f>Source!DW81</f>
        <v>100 м2</v>
      </c>
      <c r="E160" s="27">
        <f>Source!I81</f>
        <v>0.15</v>
      </c>
      <c r="F160" s="30"/>
      <c r="G160" s="29"/>
      <c r="H160" s="27"/>
      <c r="I160" s="27"/>
      <c r="J160" s="31"/>
      <c r="K160" s="31"/>
      <c r="Q160">
        <f>ROUND((Source!DN81/100)*ROUND(Source!CT81*Source!I81/IF(Source!BA81&lt;&gt;0,Source!BA81,1),2),2)</f>
        <v>60.22</v>
      </c>
      <c r="R160">
        <f>Source!X81</f>
        <v>748.43</v>
      </c>
      <c r="S160">
        <f>ROUND((Source!DO81/100)*ROUND(Source!CT81*Source!I81/IF(Source!BA81&lt;&gt;0,Source!BA81,1),2),2)</f>
        <v>41.4</v>
      </c>
      <c r="T160">
        <f>Source!Y81</f>
        <v>457.37</v>
      </c>
      <c r="U160">
        <f>ROUND((175/100)*ROUND(Source!CS81*Source!I81/IF(Source!BS81&lt;&gt;0,Source!BS81,1),2),2)</f>
        <v>0</v>
      </c>
      <c r="V160">
        <f>ROUND((169/100)*ROUND(Source!CS81*Source!I81,2),2)</f>
        <v>0</v>
      </c>
    </row>
    <row r="161" spans="1:11" ht="14.25">
      <c r="A161" s="24"/>
      <c r="B161" s="25"/>
      <c r="C161" s="26" t="s">
        <v>371</v>
      </c>
      <c r="D161" s="28"/>
      <c r="E161" s="27"/>
      <c r="F161" s="30">
        <f>Source!AO81</f>
        <v>501.8</v>
      </c>
      <c r="G161" s="29">
        <f>Source!DG81</f>
      </c>
      <c r="H161" s="27">
        <f>Source!AV81</f>
        <v>1</v>
      </c>
      <c r="I161" s="27">
        <f>IF(Source!BA81&lt;&gt;0,Source!BA81,1)</f>
        <v>13.81</v>
      </c>
      <c r="J161" s="31">
        <f>Source!S81</f>
        <v>1039.48</v>
      </c>
      <c r="K161" s="31"/>
    </row>
    <row r="162" spans="1:11" ht="14.25">
      <c r="A162" s="24"/>
      <c r="B162" s="25"/>
      <c r="C162" s="26" t="s">
        <v>372</v>
      </c>
      <c r="D162" s="28" t="s">
        <v>373</v>
      </c>
      <c r="E162" s="27">
        <f>Source!BZ81</f>
        <v>72</v>
      </c>
      <c r="F162" s="30"/>
      <c r="G162" s="29"/>
      <c r="H162" s="27"/>
      <c r="I162" s="27"/>
      <c r="J162" s="31">
        <f>SUM(R160:R161)</f>
        <v>748.43</v>
      </c>
      <c r="K162" s="31"/>
    </row>
    <row r="163" spans="1:11" ht="14.25">
      <c r="A163" s="24"/>
      <c r="B163" s="25"/>
      <c r="C163" s="26" t="s">
        <v>374</v>
      </c>
      <c r="D163" s="28" t="s">
        <v>373</v>
      </c>
      <c r="E163" s="27">
        <f>Source!CA81</f>
        <v>44</v>
      </c>
      <c r="F163" s="30"/>
      <c r="G163" s="29"/>
      <c r="H163" s="27"/>
      <c r="I163" s="27"/>
      <c r="J163" s="31">
        <f>SUM(T160:T162)</f>
        <v>457.37</v>
      </c>
      <c r="K163" s="31"/>
    </row>
    <row r="164" spans="1:11" ht="14.25">
      <c r="A164" s="34"/>
      <c r="B164" s="35"/>
      <c r="C164" s="36" t="s">
        <v>375</v>
      </c>
      <c r="D164" s="37" t="s">
        <v>376</v>
      </c>
      <c r="E164" s="38">
        <f>Source!AQ81</f>
        <v>49.1</v>
      </c>
      <c r="F164" s="39"/>
      <c r="G164" s="40">
        <f>Source!DI81</f>
      </c>
      <c r="H164" s="38">
        <f>Source!AV81</f>
        <v>1</v>
      </c>
      <c r="I164" s="38"/>
      <c r="J164" s="41"/>
      <c r="K164" s="41">
        <f>Source!U81</f>
        <v>7.365</v>
      </c>
    </row>
    <row r="165" spans="9:16" ht="15">
      <c r="I165" s="53">
        <f>Source!O81+SUM(J162:J163)</f>
        <v>2245.2799999999997</v>
      </c>
      <c r="J165" s="53"/>
      <c r="K165" s="33">
        <f>IF(Source!I81&lt;&gt;0,ROUND(I165/Source!I81,2),0)</f>
        <v>14968.53</v>
      </c>
      <c r="P165" s="32">
        <f>I165</f>
        <v>2245.2799999999997</v>
      </c>
    </row>
    <row r="166" spans="1:22" ht="42.75">
      <c r="A166" s="24" t="str">
        <f>Source!E82</f>
        <v>2</v>
      </c>
      <c r="B166" s="25" t="str">
        <f>Source!F82</f>
        <v>3.15-52-7</v>
      </c>
      <c r="C166" s="26" t="str">
        <f>Source!G82</f>
        <v>ПРОСТОЕ ОШТУКАТУРИВАНИЕ СТЕН ЦЕМЕНТНЫМ РАСТВОРОМ ПО КАМНЮ И БЕТОНУ ВНУТРИ ЗДАНИЙ</v>
      </c>
      <c r="D166" s="28" t="str">
        <f>Source!DW82</f>
        <v>100 м2</v>
      </c>
      <c r="E166" s="27">
        <f>Source!I82</f>
        <v>0.15</v>
      </c>
      <c r="F166" s="30"/>
      <c r="G166" s="29"/>
      <c r="H166" s="27"/>
      <c r="I166" s="27"/>
      <c r="J166" s="31"/>
      <c r="K166" s="31"/>
      <c r="Q166">
        <f>ROUND((Source!DN82/100)*ROUND(Source!CT82*Source!I82/IF(Source!BA82&lt;&gt;0,Source!BA82,1),2),2)</f>
        <v>156</v>
      </c>
      <c r="R166">
        <f>Source!X82</f>
        <v>1831.21</v>
      </c>
      <c r="S166">
        <f>ROUND((Source!DO82/100)*ROUND(Source!CT82*Source!I82/IF(Source!BA82&lt;&gt;0,Source!BA82,1),2),2)</f>
        <v>99.84</v>
      </c>
      <c r="T166">
        <f>Source!Y82</f>
        <v>947.92</v>
      </c>
      <c r="U166">
        <f>ROUND((175/100)*ROUND(Source!CS82*Source!I82/IF(Source!BS82&lt;&gt;0,Source!BS82,1),2),2)</f>
        <v>20.58</v>
      </c>
      <c r="V166">
        <f>ROUND((169/100)*ROUND(Source!CS82*Source!I82,2),2)</f>
        <v>274.57</v>
      </c>
    </row>
    <row r="167" spans="1:11" ht="14.25">
      <c r="A167" s="24"/>
      <c r="B167" s="25"/>
      <c r="C167" s="26" t="s">
        <v>371</v>
      </c>
      <c r="D167" s="28"/>
      <c r="E167" s="27"/>
      <c r="F167" s="30">
        <f>Source!AO82</f>
        <v>832</v>
      </c>
      <c r="G167" s="29" t="str">
        <f>Source!DG82</f>
        <v>*1,25</v>
      </c>
      <c r="H167" s="27">
        <f>Source!AV82</f>
        <v>1</v>
      </c>
      <c r="I167" s="27">
        <f>IF(Source!BA82&lt;&gt;0,Source!BA82,1)</f>
        <v>13.81</v>
      </c>
      <c r="J167" s="31">
        <f>Source!S82</f>
        <v>2154.36</v>
      </c>
      <c r="K167" s="31"/>
    </row>
    <row r="168" spans="1:11" ht="14.25">
      <c r="A168" s="24"/>
      <c r="B168" s="25"/>
      <c r="C168" s="26" t="s">
        <v>377</v>
      </c>
      <c r="D168" s="28"/>
      <c r="E168" s="27"/>
      <c r="F168" s="30">
        <f>Source!AM82</f>
        <v>274.91</v>
      </c>
      <c r="G168" s="29" t="str">
        <f>Source!DE82</f>
        <v>*1,15</v>
      </c>
      <c r="H168" s="27">
        <f>Source!AV82</f>
        <v>1</v>
      </c>
      <c r="I168" s="27">
        <f>IF(Source!BB82&lt;&gt;0,Source!BB82,1)</f>
        <v>6.89</v>
      </c>
      <c r="J168" s="31">
        <f>Source!Q82</f>
        <v>326.74</v>
      </c>
      <c r="K168" s="31"/>
    </row>
    <row r="169" spans="1:11" ht="14.25">
      <c r="A169" s="24"/>
      <c r="B169" s="25"/>
      <c r="C169" s="26" t="s">
        <v>378</v>
      </c>
      <c r="D169" s="28"/>
      <c r="E169" s="27"/>
      <c r="F169" s="30">
        <f>Source!AN82</f>
        <v>68.2</v>
      </c>
      <c r="G169" s="29" t="str">
        <f>Source!DF82</f>
        <v>*1,15</v>
      </c>
      <c r="H169" s="27">
        <f>Source!AV82</f>
        <v>1</v>
      </c>
      <c r="I169" s="27">
        <f>IF(Source!BS82&lt;&gt;0,Source!BS82,1)</f>
        <v>13.81</v>
      </c>
      <c r="J169" s="31">
        <f>Source!R82</f>
        <v>162.47</v>
      </c>
      <c r="K169" s="31"/>
    </row>
    <row r="170" spans="1:11" ht="14.25">
      <c r="A170" s="24"/>
      <c r="B170" s="25"/>
      <c r="C170" s="26" t="s">
        <v>379</v>
      </c>
      <c r="D170" s="28"/>
      <c r="E170" s="27"/>
      <c r="F170" s="30">
        <f>Source!AL82</f>
        <v>95.21</v>
      </c>
      <c r="G170" s="29">
        <f>Source!DD82</f>
      </c>
      <c r="H170" s="27">
        <f>Source!AW82</f>
        <v>1</v>
      </c>
      <c r="I170" s="27">
        <f>IF(Source!BC82&lt;&gt;0,Source!BC82,1)</f>
        <v>9.43</v>
      </c>
      <c r="J170" s="31">
        <f>Source!P82</f>
        <v>134.67</v>
      </c>
      <c r="K170" s="31"/>
    </row>
    <row r="171" spans="1:22" ht="85.5">
      <c r="A171" s="24" t="str">
        <f>Source!E83</f>
        <v>2,1</v>
      </c>
      <c r="B171" s="25" t="str">
        <f>Source!F83</f>
        <v>1.3-2-24</v>
      </c>
      <c r="C171" s="26" t="str">
        <f>Source!G83</f>
        <v>СМЕСИ СУХИЕ ШТУКАТУРНЫЕ ЦЕМЕНТНО-ПЕСЧАНЫЕ ДЛЯ ВНУТРЕННИХ И НАРУЖНЫХ РАБОТ, БЕЗДОБАВОЧНЫЕ: В12,5 (М150), F50, КРУПНОСТЬ ЗАПОЛНИТЕЛЯ НЕ БОЛЕЕ 0,5 ММ</v>
      </c>
      <c r="D171" s="28" t="str">
        <f>Source!DW83</f>
        <v>т</v>
      </c>
      <c r="E171" s="27">
        <f>Source!I83</f>
        <v>0.072</v>
      </c>
      <c r="F171" s="30">
        <f>Source!AK83</f>
        <v>796.76</v>
      </c>
      <c r="G171" s="29"/>
      <c r="H171" s="27">
        <f>Source!AW83</f>
        <v>1</v>
      </c>
      <c r="I171" s="27">
        <f>IF(Source!BC83&lt;&gt;0,Source!BC83,1)</f>
        <v>4.38</v>
      </c>
      <c r="J171" s="31">
        <f>Source!O83</f>
        <v>251.27</v>
      </c>
      <c r="K171" s="31"/>
      <c r="Q171">
        <f>ROUND((Source!DN83/100)*ROUND(Source!CT83*Source!I83/IF(Source!BA83&lt;&gt;0,Source!BA83,1),2),2)</f>
        <v>0</v>
      </c>
      <c r="R171">
        <f>Source!X83</f>
        <v>0</v>
      </c>
      <c r="S171">
        <f>ROUND((Source!DO83/100)*ROUND(Source!CT83*Source!I83/IF(Source!BA83&lt;&gt;0,Source!BA83,1),2),2)</f>
        <v>0</v>
      </c>
      <c r="T171">
        <f>Source!Y83</f>
        <v>0</v>
      </c>
      <c r="U171">
        <f>ROUND((175/100)*ROUND(Source!CS83*Source!I83/IF(Source!BS83&lt;&gt;0,Source!BS83,1),2),2)</f>
        <v>0</v>
      </c>
      <c r="V171">
        <f>ROUND((169/100)*ROUND(Source!CS83*Source!I83,2),2)</f>
        <v>0</v>
      </c>
    </row>
    <row r="172" spans="1:22" ht="14.25">
      <c r="A172" s="24" t="str">
        <f>Source!E84</f>
        <v>2,2</v>
      </c>
      <c r="B172" s="25" t="str">
        <f>Source!F84</f>
        <v>1.3-2-4</v>
      </c>
      <c r="C172" s="26" t="str">
        <f>Source!G84</f>
        <v>РАСТВОРЫ ЦЕМЕНТНЫЕ, МАРКА 75</v>
      </c>
      <c r="D172" s="28" t="str">
        <f>Source!DW84</f>
        <v>м3</v>
      </c>
      <c r="E172" s="27">
        <f>Source!I84</f>
        <v>0.1812</v>
      </c>
      <c r="F172" s="30">
        <f>Source!AK84</f>
        <v>396.06</v>
      </c>
      <c r="G172" s="29"/>
      <c r="H172" s="27">
        <f>Source!AW84</f>
        <v>1</v>
      </c>
      <c r="I172" s="27">
        <f>IF(Source!BC84&lt;&gt;0,Source!BC84,1)</f>
        <v>6.22</v>
      </c>
      <c r="J172" s="31">
        <f>Source!O84</f>
        <v>446.38</v>
      </c>
      <c r="K172" s="31"/>
      <c r="Q172">
        <f>ROUND((Source!DN84/100)*ROUND(Source!CT84*Source!I84/IF(Source!BA84&lt;&gt;0,Source!BA84,1),2),2)</f>
        <v>0</v>
      </c>
      <c r="R172">
        <f>Source!X84</f>
        <v>0</v>
      </c>
      <c r="S172">
        <f>ROUND((Source!DO84/100)*ROUND(Source!CT84*Source!I84/IF(Source!BA84&lt;&gt;0,Source!BA84,1),2),2)</f>
        <v>0</v>
      </c>
      <c r="T172">
        <f>Source!Y84</f>
        <v>0</v>
      </c>
      <c r="U172">
        <f>ROUND((175/100)*ROUND(Source!CS84*Source!I84/IF(Source!BS84&lt;&gt;0,Source!BS84,1),2),2)</f>
        <v>0</v>
      </c>
      <c r="V172">
        <f>ROUND((169/100)*ROUND(Source!CS84*Source!I84,2),2)</f>
        <v>0</v>
      </c>
    </row>
    <row r="173" spans="1:11" ht="14.25">
      <c r="A173" s="24"/>
      <c r="B173" s="25"/>
      <c r="C173" s="26" t="s">
        <v>372</v>
      </c>
      <c r="D173" s="28" t="s">
        <v>373</v>
      </c>
      <c r="E173" s="27">
        <f>Source!BZ82</f>
        <v>85</v>
      </c>
      <c r="F173" s="30"/>
      <c r="G173" s="29"/>
      <c r="H173" s="27"/>
      <c r="I173" s="27"/>
      <c r="J173" s="31">
        <f>SUM(R166:R172)</f>
        <v>1831.21</v>
      </c>
      <c r="K173" s="31"/>
    </row>
    <row r="174" spans="1:11" ht="14.25">
      <c r="A174" s="24"/>
      <c r="B174" s="25"/>
      <c r="C174" s="26" t="s">
        <v>374</v>
      </c>
      <c r="D174" s="28" t="s">
        <v>373</v>
      </c>
      <c r="E174" s="27">
        <f>Source!CA82</f>
        <v>44</v>
      </c>
      <c r="F174" s="30"/>
      <c r="G174" s="29"/>
      <c r="H174" s="27"/>
      <c r="I174" s="27"/>
      <c r="J174" s="31">
        <f>SUM(T166:T173)</f>
        <v>947.92</v>
      </c>
      <c r="K174" s="31"/>
    </row>
    <row r="175" spans="1:11" ht="14.25">
      <c r="A175" s="24"/>
      <c r="B175" s="25"/>
      <c r="C175" s="26" t="s">
        <v>380</v>
      </c>
      <c r="D175" s="28" t="s">
        <v>373</v>
      </c>
      <c r="E175" s="27">
        <f>169</f>
        <v>169</v>
      </c>
      <c r="F175" s="30"/>
      <c r="G175" s="29"/>
      <c r="H175" s="27"/>
      <c r="I175" s="27"/>
      <c r="J175" s="31">
        <f>SUM(V166:V174)</f>
        <v>274.57</v>
      </c>
      <c r="K175" s="31"/>
    </row>
    <row r="176" spans="1:11" ht="14.25">
      <c r="A176" s="34"/>
      <c r="B176" s="35"/>
      <c r="C176" s="36" t="s">
        <v>375</v>
      </c>
      <c r="D176" s="37" t="s">
        <v>376</v>
      </c>
      <c r="E176" s="38">
        <f>Source!AQ82</f>
        <v>65</v>
      </c>
      <c r="F176" s="39"/>
      <c r="G176" s="40" t="str">
        <f>Source!DI82</f>
        <v>*1,25</v>
      </c>
      <c r="H176" s="38">
        <f>Source!AV82</f>
        <v>1</v>
      </c>
      <c r="I176" s="38"/>
      <c r="J176" s="41"/>
      <c r="K176" s="41">
        <f>Source!U82</f>
        <v>12.1875</v>
      </c>
    </row>
    <row r="177" spans="9:16" ht="15">
      <c r="I177" s="53">
        <f>Source!O82+SUM(J171:J175)</f>
        <v>6367.120000000001</v>
      </c>
      <c r="J177" s="53"/>
      <c r="K177" s="33">
        <f>IF(Source!I82&lt;&gt;0,ROUND(I177/Source!I82,2),0)</f>
        <v>42447.47</v>
      </c>
      <c r="P177" s="32">
        <f>I177</f>
        <v>6367.120000000001</v>
      </c>
    </row>
    <row r="178" spans="1:22" ht="28.5">
      <c r="A178" s="24" t="str">
        <f>Source!E85</f>
        <v>3</v>
      </c>
      <c r="B178" s="25" t="str">
        <f>Source!F85</f>
        <v>3.15-96-1</v>
      </c>
      <c r="C178" s="26" t="str">
        <f>Source!G85</f>
        <v>ПРОСТАЯ ОКРАСКА СТЕН ПО ШТУКАТУРКЕ</v>
      </c>
      <c r="D178" s="28" t="str">
        <f>Source!DW85</f>
        <v>100 м2</v>
      </c>
      <c r="E178" s="27">
        <f>Source!I85</f>
        <v>0.15</v>
      </c>
      <c r="F178" s="30"/>
      <c r="G178" s="29"/>
      <c r="H178" s="27"/>
      <c r="I178" s="27"/>
      <c r="J178" s="31"/>
      <c r="K178" s="31"/>
      <c r="Q178">
        <f>ROUND((Source!DN85/100)*ROUND(Source!CT85*Source!I85/IF(Source!BA85&lt;&gt;0,Source!BA85,1),2),2)</f>
        <v>29.29</v>
      </c>
      <c r="R178">
        <f>Source!X85</f>
        <v>343.83</v>
      </c>
      <c r="S178">
        <f>ROUND((Source!DO85/100)*ROUND(Source!CT85*Source!I85/IF(Source!BA85&lt;&gt;0,Source!BA85,1),2),2)</f>
        <v>18.75</v>
      </c>
      <c r="T178">
        <f>Source!Y85</f>
        <v>177.98</v>
      </c>
      <c r="U178">
        <f>ROUND((175/100)*ROUND(Source!CS85*Source!I85/IF(Source!BS85&lt;&gt;0,Source!BS85,1),2),2)</f>
        <v>1.17</v>
      </c>
      <c r="V178">
        <f>ROUND((169/100)*ROUND(Source!CS85*Source!I85,2),2)</f>
        <v>15.58</v>
      </c>
    </row>
    <row r="179" spans="1:11" ht="14.25">
      <c r="A179" s="24"/>
      <c r="B179" s="25"/>
      <c r="C179" s="26" t="s">
        <v>371</v>
      </c>
      <c r="D179" s="28"/>
      <c r="E179" s="27"/>
      <c r="F179" s="30">
        <f>Source!AO85</f>
        <v>156.22</v>
      </c>
      <c r="G179" s="29" t="str">
        <f>Source!DG85</f>
        <v>*1,25</v>
      </c>
      <c r="H179" s="27">
        <f>Source!AV85</f>
        <v>1</v>
      </c>
      <c r="I179" s="27">
        <f>IF(Source!BA85&lt;&gt;0,Source!BA85,1)</f>
        <v>13.81</v>
      </c>
      <c r="J179" s="31">
        <f>Source!S85</f>
        <v>404.51</v>
      </c>
      <c r="K179" s="31"/>
    </row>
    <row r="180" spans="1:11" ht="14.25">
      <c r="A180" s="24"/>
      <c r="B180" s="25"/>
      <c r="C180" s="26" t="s">
        <v>377</v>
      </c>
      <c r="D180" s="28"/>
      <c r="E180" s="27"/>
      <c r="F180" s="30">
        <f>Source!AM85</f>
        <v>16.38</v>
      </c>
      <c r="G180" s="29" t="str">
        <f>Source!DE85</f>
        <v>*1,15</v>
      </c>
      <c r="H180" s="27">
        <f>Source!AV85</f>
        <v>1</v>
      </c>
      <c r="I180" s="27">
        <f>IF(Source!BB85&lt;&gt;0,Source!BB85,1)</f>
        <v>7.92</v>
      </c>
      <c r="J180" s="31">
        <f>Source!Q85</f>
        <v>22.38</v>
      </c>
      <c r="K180" s="31"/>
    </row>
    <row r="181" spans="1:11" ht="14.25">
      <c r="A181" s="24"/>
      <c r="B181" s="25"/>
      <c r="C181" s="26" t="s">
        <v>378</v>
      </c>
      <c r="D181" s="28"/>
      <c r="E181" s="27"/>
      <c r="F181" s="30">
        <f>Source!AN85</f>
        <v>3.87</v>
      </c>
      <c r="G181" s="29" t="str">
        <f>Source!DF85</f>
        <v>*1,15</v>
      </c>
      <c r="H181" s="27">
        <f>Source!AV85</f>
        <v>1</v>
      </c>
      <c r="I181" s="27">
        <f>IF(Source!BS85&lt;&gt;0,Source!BS85,1)</f>
        <v>13.81</v>
      </c>
      <c r="J181" s="31">
        <f>Source!R85</f>
        <v>9.22</v>
      </c>
      <c r="K181" s="31"/>
    </row>
    <row r="182" spans="1:11" ht="14.25">
      <c r="A182" s="24"/>
      <c r="B182" s="25"/>
      <c r="C182" s="26" t="s">
        <v>379</v>
      </c>
      <c r="D182" s="28"/>
      <c r="E182" s="27"/>
      <c r="F182" s="30">
        <f>Source!AL85</f>
        <v>1.19</v>
      </c>
      <c r="G182" s="29">
        <f>Source!DD85</f>
      </c>
      <c r="H182" s="27">
        <f>Source!AW85</f>
        <v>1</v>
      </c>
      <c r="I182" s="27">
        <f>IF(Source!BC85&lt;&gt;0,Source!BC85,1)</f>
        <v>4.56</v>
      </c>
      <c r="J182" s="31">
        <f>Source!P85</f>
        <v>0.81</v>
      </c>
      <c r="K182" s="31"/>
    </row>
    <row r="183" spans="1:22" ht="28.5">
      <c r="A183" s="24" t="str">
        <f>Source!E86</f>
        <v>3,1</v>
      </c>
      <c r="B183" s="25" t="str">
        <f>Source!F86</f>
        <v>1.1-1-1487</v>
      </c>
      <c r="C183" s="26" t="str">
        <f>Source!G86</f>
        <v>ШПАТЛЕВКА МАСЛЯНО-КЛЕЕВАЯ УНИВЕРСАЛЬНАЯ</v>
      </c>
      <c r="D183" s="28" t="str">
        <f>Source!DW86</f>
        <v>т</v>
      </c>
      <c r="E183" s="27">
        <f>Source!I86</f>
        <v>0.0008249999999999999</v>
      </c>
      <c r="F183" s="30">
        <f>Source!AK86</f>
        <v>2278.84</v>
      </c>
      <c r="G183" s="29"/>
      <c r="H183" s="27">
        <f>Source!AW86</f>
        <v>1</v>
      </c>
      <c r="I183" s="27">
        <f>IF(Source!BC86&lt;&gt;0,Source!BC86,1)</f>
        <v>5.19</v>
      </c>
      <c r="J183" s="31">
        <f>Source!O86</f>
        <v>9.76</v>
      </c>
      <c r="K183" s="31"/>
      <c r="Q183">
        <f>ROUND((Source!DN86/100)*ROUND(Source!CT86*Source!I86/IF(Source!BA86&lt;&gt;0,Source!BA86,1),2),2)</f>
        <v>0</v>
      </c>
      <c r="R183">
        <f>Source!X86</f>
        <v>0</v>
      </c>
      <c r="S183">
        <f>ROUND((Source!DO86/100)*ROUND(Source!CT86*Source!I86/IF(Source!BA86&lt;&gt;0,Source!BA86,1),2),2)</f>
        <v>0</v>
      </c>
      <c r="T183">
        <f>Source!Y86</f>
        <v>0</v>
      </c>
      <c r="U183">
        <f>ROUND((175/100)*ROUND(Source!CS86*Source!I86/IF(Source!BS86&lt;&gt;0,Source!BS86,1),2),2)</f>
        <v>0</v>
      </c>
      <c r="V183">
        <f>ROUND((169/100)*ROUND(Source!CS86*Source!I86,2),2)</f>
        <v>0</v>
      </c>
    </row>
    <row r="184" spans="1:22" ht="14.25">
      <c r="A184" s="24" t="str">
        <f>Source!E87</f>
        <v>3,2</v>
      </c>
      <c r="B184" s="25" t="str">
        <f>Source!F87</f>
        <v>1.1-1-438</v>
      </c>
      <c r="C184" s="26" t="str">
        <f>Source!G87</f>
        <v>КРАСКИ ВОДНО-ДИСПЕРСИОННЫЕ</v>
      </c>
      <c r="D184" s="28" t="str">
        <f>Source!DW87</f>
        <v>т</v>
      </c>
      <c r="E184" s="27">
        <f>Source!I87</f>
        <v>0.0078</v>
      </c>
      <c r="F184" s="30">
        <f>Source!AK87</f>
        <v>22652.13</v>
      </c>
      <c r="G184" s="29"/>
      <c r="H184" s="27">
        <f>Source!AW87</f>
        <v>1</v>
      </c>
      <c r="I184" s="27">
        <f>IF(Source!BC87&lt;&gt;0,Source!BC87,1)</f>
        <v>1.62</v>
      </c>
      <c r="J184" s="31">
        <f>Source!O87</f>
        <v>286.23</v>
      </c>
      <c r="K184" s="31"/>
      <c r="Q184">
        <f>ROUND((Source!DN87/100)*ROUND(Source!CT87*Source!I87/IF(Source!BA87&lt;&gt;0,Source!BA87,1),2),2)</f>
        <v>0</v>
      </c>
      <c r="R184">
        <f>Source!X87</f>
        <v>0</v>
      </c>
      <c r="S184">
        <f>ROUND((Source!DO87/100)*ROUND(Source!CT87*Source!I87/IF(Source!BA87&lt;&gt;0,Source!BA87,1),2),2)</f>
        <v>0</v>
      </c>
      <c r="T184">
        <f>Source!Y87</f>
        <v>0</v>
      </c>
      <c r="U184">
        <f>ROUND((175/100)*ROUND(Source!CS87*Source!I87/IF(Source!BS87&lt;&gt;0,Source!BS87,1),2),2)</f>
        <v>0</v>
      </c>
      <c r="V184">
        <f>ROUND((169/100)*ROUND(Source!CS87*Source!I87,2),2)</f>
        <v>0</v>
      </c>
    </row>
    <row r="185" spans="1:11" ht="14.25">
      <c r="A185" s="24"/>
      <c r="B185" s="25"/>
      <c r="C185" s="26" t="s">
        <v>372</v>
      </c>
      <c r="D185" s="28" t="s">
        <v>373</v>
      </c>
      <c r="E185" s="27">
        <f>Source!BZ85</f>
        <v>85</v>
      </c>
      <c r="F185" s="30"/>
      <c r="G185" s="29"/>
      <c r="H185" s="27"/>
      <c r="I185" s="27"/>
      <c r="J185" s="31">
        <f>SUM(R178:R184)</f>
        <v>343.83</v>
      </c>
      <c r="K185" s="31"/>
    </row>
    <row r="186" spans="1:11" ht="14.25">
      <c r="A186" s="24"/>
      <c r="B186" s="25"/>
      <c r="C186" s="26" t="s">
        <v>374</v>
      </c>
      <c r="D186" s="28" t="s">
        <v>373</v>
      </c>
      <c r="E186" s="27">
        <f>Source!CA85</f>
        <v>44</v>
      </c>
      <c r="F186" s="30"/>
      <c r="G186" s="29"/>
      <c r="H186" s="27"/>
      <c r="I186" s="27"/>
      <c r="J186" s="31">
        <f>SUM(T178:T185)</f>
        <v>177.98</v>
      </c>
      <c r="K186" s="31"/>
    </row>
    <row r="187" spans="1:11" ht="14.25">
      <c r="A187" s="24"/>
      <c r="B187" s="25"/>
      <c r="C187" s="26" t="s">
        <v>380</v>
      </c>
      <c r="D187" s="28" t="s">
        <v>373</v>
      </c>
      <c r="E187" s="27">
        <f>169</f>
        <v>169</v>
      </c>
      <c r="F187" s="30"/>
      <c r="G187" s="29"/>
      <c r="H187" s="27"/>
      <c r="I187" s="27"/>
      <c r="J187" s="31">
        <f>SUM(V178:V186)</f>
        <v>15.58</v>
      </c>
      <c r="K187" s="31"/>
    </row>
    <row r="188" spans="1:11" ht="14.25">
      <c r="A188" s="34"/>
      <c r="B188" s="35"/>
      <c r="C188" s="36" t="s">
        <v>375</v>
      </c>
      <c r="D188" s="37" t="s">
        <v>376</v>
      </c>
      <c r="E188" s="38">
        <f>Source!AQ85</f>
        <v>13.8</v>
      </c>
      <c r="F188" s="39"/>
      <c r="G188" s="40" t="str">
        <f>Source!DI85</f>
        <v>*1,25</v>
      </c>
      <c r="H188" s="38">
        <f>Source!AV85</f>
        <v>1</v>
      </c>
      <c r="I188" s="38"/>
      <c r="J188" s="41"/>
      <c r="K188" s="41">
        <f>Source!U85</f>
        <v>2.5875</v>
      </c>
    </row>
    <row r="189" spans="9:16" ht="15">
      <c r="I189" s="53">
        <f>Source!O85+SUM(J183:J187)</f>
        <v>1261.08</v>
      </c>
      <c r="J189" s="53"/>
      <c r="K189" s="33">
        <f>IF(Source!I85&lt;&gt;0,ROUND(I189/Source!I85,2),0)</f>
        <v>8407.2</v>
      </c>
      <c r="P189" s="32">
        <f>I189</f>
        <v>1261.08</v>
      </c>
    </row>
    <row r="191" spans="1:32" ht="15">
      <c r="A191" s="55" t="str">
        <f>CONCATENATE("Итого по разделу: ",Source!G89)</f>
        <v>Итого по разделу: Текущий ремонт электрощитовой (помещение № 113)</v>
      </c>
      <c r="B191" s="55"/>
      <c r="C191" s="55"/>
      <c r="D191" s="55"/>
      <c r="E191" s="55"/>
      <c r="F191" s="55"/>
      <c r="G191" s="55"/>
      <c r="H191" s="55"/>
      <c r="I191" s="53">
        <f>SUM(P159:P190)</f>
        <v>9873.480000000001</v>
      </c>
      <c r="J191" s="54"/>
      <c r="K191" s="42"/>
      <c r="AF191" s="43" t="str">
        <f>CONCATENATE("Итого по разделу: ",Source!G89)</f>
        <v>Итого по разделу: Текущий ремонт электрощитовой (помещение № 113)</v>
      </c>
    </row>
    <row r="194" spans="1:31" ht="16.5">
      <c r="A194" s="56" t="str">
        <f>CONCATENATE("Раздел: ",Source!G110)</f>
        <v>Раздел: Текущий ремонт входной группы (со стороны ул. Люблинская) здания МДЦМП Марьино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AE194" s="23" t="str">
        <f>CONCATENATE("Раздел: ",Source!G110)</f>
        <v>Раздел: Текущий ремонт входной группы (со стороны ул. Люблинская) здания МДЦМП Марьино</v>
      </c>
    </row>
    <row r="195" spans="1:22" ht="28.5">
      <c r="A195" s="24" t="str">
        <f>Source!E114</f>
        <v>1</v>
      </c>
      <c r="B195" s="25" t="str">
        <f>Source!F114</f>
        <v>3.7-60-4</v>
      </c>
      <c r="C195" s="26" t="str">
        <f>Source!G114</f>
        <v>ДЕМОНТАЖ МЕТАЛЛИЧЕСКИХ ОГРАЖДЕНИЙ БЕЗ ПОРУЧНЯ</v>
      </c>
      <c r="D195" s="28" t="str">
        <f>Source!DW114</f>
        <v>100 м</v>
      </c>
      <c r="E195" s="27">
        <f>Source!I114</f>
        <v>0.21</v>
      </c>
      <c r="F195" s="30"/>
      <c r="G195" s="29"/>
      <c r="H195" s="27"/>
      <c r="I195" s="27"/>
      <c r="J195" s="31"/>
      <c r="K195" s="31"/>
      <c r="Q195">
        <f>ROUND((Source!DN114/100)*ROUND(Source!CT114*Source!I114/IF(Source!BA114&lt;&gt;0,Source!BA114,1),2),2)</f>
        <v>58.67</v>
      </c>
      <c r="R195">
        <f>Source!X114</f>
        <v>685.58</v>
      </c>
      <c r="S195">
        <f>ROUND((Source!DO114/100)*ROUND(Source!CT114*Source!I114/IF(Source!BA114&lt;&gt;0,Source!BA114,1),2),2)</f>
        <v>45.13</v>
      </c>
      <c r="T195">
        <f>Source!Y114</f>
        <v>391.76</v>
      </c>
      <c r="U195">
        <f>ROUND((175/100)*ROUND(Source!CS114*Source!I114/IF(Source!BS114&lt;&gt;0,Source!BS114,1),2),2)</f>
        <v>4.24</v>
      </c>
      <c r="V195">
        <f>ROUND((169/100)*ROUND(Source!CS114*Source!I114,2),2)</f>
        <v>56.38</v>
      </c>
    </row>
    <row r="196" spans="1:11" ht="14.25">
      <c r="A196" s="24"/>
      <c r="B196" s="25"/>
      <c r="C196" s="26" t="s">
        <v>371</v>
      </c>
      <c r="D196" s="28"/>
      <c r="E196" s="27"/>
      <c r="F196" s="30">
        <f>Source!AO114</f>
        <v>511.69</v>
      </c>
      <c r="G196" s="29" t="str">
        <f>Source!DG114</f>
        <v>*0,6</v>
      </c>
      <c r="H196" s="27">
        <f>Source!AV114</f>
        <v>1</v>
      </c>
      <c r="I196" s="27">
        <f>IF(Source!BA114&lt;&gt;0,Source!BA114,1)</f>
        <v>13.81</v>
      </c>
      <c r="J196" s="31">
        <f>Source!S114</f>
        <v>890.37</v>
      </c>
      <c r="K196" s="31"/>
    </row>
    <row r="197" spans="1:11" ht="14.25">
      <c r="A197" s="24"/>
      <c r="B197" s="25"/>
      <c r="C197" s="26" t="s">
        <v>377</v>
      </c>
      <c r="D197" s="28"/>
      <c r="E197" s="27"/>
      <c r="F197" s="30">
        <f>Source!AM114</f>
        <v>81.14</v>
      </c>
      <c r="G197" s="29" t="str">
        <f>Source!DE114</f>
        <v>*0,6</v>
      </c>
      <c r="H197" s="27">
        <f>Source!AV114</f>
        <v>1</v>
      </c>
      <c r="I197" s="27">
        <f>IF(Source!BB114&lt;&gt;0,Source!BB114,1)</f>
        <v>7.91</v>
      </c>
      <c r="J197" s="31">
        <f>Source!Q114</f>
        <v>80.87</v>
      </c>
      <c r="K197" s="31"/>
    </row>
    <row r="198" spans="1:11" ht="14.25">
      <c r="A198" s="24"/>
      <c r="B198" s="25"/>
      <c r="C198" s="26" t="s">
        <v>378</v>
      </c>
      <c r="D198" s="28"/>
      <c r="E198" s="27"/>
      <c r="F198" s="30">
        <f>Source!AN114</f>
        <v>19.17</v>
      </c>
      <c r="G198" s="29" t="str">
        <f>Source!DF114</f>
        <v>*0,6</v>
      </c>
      <c r="H198" s="27">
        <f>Source!AV114</f>
        <v>1</v>
      </c>
      <c r="I198" s="27">
        <f>IF(Source!BS114&lt;&gt;0,Source!BS114,1)</f>
        <v>13.81</v>
      </c>
      <c r="J198" s="31">
        <f>Source!R114</f>
        <v>33.36</v>
      </c>
      <c r="K198" s="31"/>
    </row>
    <row r="199" spans="1:11" ht="14.25">
      <c r="A199" s="24"/>
      <c r="B199" s="25"/>
      <c r="C199" s="26" t="s">
        <v>372</v>
      </c>
      <c r="D199" s="28" t="s">
        <v>373</v>
      </c>
      <c r="E199" s="27">
        <f>Source!BZ114</f>
        <v>77</v>
      </c>
      <c r="F199" s="30"/>
      <c r="G199" s="29"/>
      <c r="H199" s="27"/>
      <c r="I199" s="27"/>
      <c r="J199" s="31">
        <f>SUM(R195:R198)</f>
        <v>685.58</v>
      </c>
      <c r="K199" s="31"/>
    </row>
    <row r="200" spans="1:11" ht="14.25">
      <c r="A200" s="24"/>
      <c r="B200" s="25"/>
      <c r="C200" s="26" t="s">
        <v>374</v>
      </c>
      <c r="D200" s="28" t="s">
        <v>373</v>
      </c>
      <c r="E200" s="27">
        <f>Source!CA114</f>
        <v>44</v>
      </c>
      <c r="F200" s="30"/>
      <c r="G200" s="29"/>
      <c r="H200" s="27"/>
      <c r="I200" s="27"/>
      <c r="J200" s="31">
        <f>SUM(T195:T199)</f>
        <v>391.76</v>
      </c>
      <c r="K200" s="31"/>
    </row>
    <row r="201" spans="1:11" ht="14.25">
      <c r="A201" s="24"/>
      <c r="B201" s="25"/>
      <c r="C201" s="26" t="s">
        <v>380</v>
      </c>
      <c r="D201" s="28" t="s">
        <v>373</v>
      </c>
      <c r="E201" s="27">
        <f>169</f>
        <v>169</v>
      </c>
      <c r="F201" s="30"/>
      <c r="G201" s="29"/>
      <c r="H201" s="27"/>
      <c r="I201" s="27"/>
      <c r="J201" s="31">
        <f>SUM(V195:V200)</f>
        <v>56.38</v>
      </c>
      <c r="K201" s="31"/>
    </row>
    <row r="202" spans="1:11" ht="14.25">
      <c r="A202" s="34"/>
      <c r="B202" s="35"/>
      <c r="C202" s="36" t="s">
        <v>375</v>
      </c>
      <c r="D202" s="37" t="s">
        <v>376</v>
      </c>
      <c r="E202" s="38">
        <f>Source!AQ114</f>
        <v>41.5</v>
      </c>
      <c r="F202" s="39"/>
      <c r="G202" s="40" t="str">
        <f>Source!DI114</f>
        <v>*0,6</v>
      </c>
      <c r="H202" s="38">
        <f>Source!AV114</f>
        <v>1</v>
      </c>
      <c r="I202" s="38"/>
      <c r="J202" s="41"/>
      <c r="K202" s="41">
        <f>Source!U114</f>
        <v>5.228999999999999</v>
      </c>
    </row>
    <row r="203" spans="9:16" ht="15">
      <c r="I203" s="53">
        <f>Source!O114+SUM(J199:J201)</f>
        <v>2104.96</v>
      </c>
      <c r="J203" s="53"/>
      <c r="K203" s="33">
        <f>IF(Source!I114&lt;&gt;0,ROUND(I203/Source!I114,2),0)</f>
        <v>10023.62</v>
      </c>
      <c r="P203" s="32">
        <f>I203</f>
        <v>2104.96</v>
      </c>
    </row>
    <row r="204" spans="1:22" ht="28.5">
      <c r="A204" s="24" t="str">
        <f>Source!E115</f>
        <v>2</v>
      </c>
      <c r="B204" s="25" t="str">
        <f>Source!F115</f>
        <v>6.63-7-2</v>
      </c>
      <c r="C204" s="26" t="str">
        <f>Source!G115</f>
        <v>РАЗБОРКА ОБЛИЦОВКИ СТЕН ИЗ ГРАНИТНЫХ ПЛИТ</v>
      </c>
      <c r="D204" s="28" t="str">
        <f>Source!DW115</f>
        <v>100 м2</v>
      </c>
      <c r="E204" s="27">
        <f>Source!I115</f>
        <v>0.12</v>
      </c>
      <c r="F204" s="30"/>
      <c r="G204" s="29"/>
      <c r="H204" s="27"/>
      <c r="I204" s="27"/>
      <c r="J204" s="31"/>
      <c r="K204" s="31"/>
      <c r="Q204">
        <f>ROUND((Source!DN115/100)*ROUND(Source!CT115*Source!I115/IF(Source!BA115&lt;&gt;0,Source!BA115,1),2),2)</f>
        <v>571.3</v>
      </c>
      <c r="R204">
        <f>Source!X115</f>
        <v>7100.77</v>
      </c>
      <c r="S204">
        <f>ROUND((Source!DO115/100)*ROUND(Source!CT115*Source!I115/IF(Source!BA115&lt;&gt;0,Source!BA115,1),2),2)</f>
        <v>392.77</v>
      </c>
      <c r="T204">
        <f>Source!Y115</f>
        <v>4339.36</v>
      </c>
      <c r="U204">
        <f>ROUND((175/100)*ROUND(Source!CS115*Source!I115/IF(Source!BS115&lt;&gt;0,Source!BS115,1),2),2)</f>
        <v>0</v>
      </c>
      <c r="V204">
        <f>ROUND((169/100)*ROUND(Source!CS115*Source!I115,2),2)</f>
        <v>0</v>
      </c>
    </row>
    <row r="205" spans="1:11" ht="14.25">
      <c r="A205" s="24"/>
      <c r="B205" s="25"/>
      <c r="C205" s="26" t="s">
        <v>371</v>
      </c>
      <c r="D205" s="28"/>
      <c r="E205" s="27"/>
      <c r="F205" s="30">
        <f>Source!AO115</f>
        <v>5951.11</v>
      </c>
      <c r="G205" s="29">
        <f>Source!DG115</f>
      </c>
      <c r="H205" s="27">
        <f>Source!AV115</f>
        <v>1</v>
      </c>
      <c r="I205" s="27">
        <f>IF(Source!BA115&lt;&gt;0,Source!BA115,1)</f>
        <v>13.81</v>
      </c>
      <c r="J205" s="31">
        <f>Source!S115</f>
        <v>9862.18</v>
      </c>
      <c r="K205" s="31"/>
    </row>
    <row r="206" spans="1:11" ht="14.25">
      <c r="A206" s="24"/>
      <c r="B206" s="25"/>
      <c r="C206" s="26" t="s">
        <v>372</v>
      </c>
      <c r="D206" s="28" t="s">
        <v>373</v>
      </c>
      <c r="E206" s="27">
        <f>Source!BZ115</f>
        <v>72</v>
      </c>
      <c r="F206" s="30"/>
      <c r="G206" s="29"/>
      <c r="H206" s="27"/>
      <c r="I206" s="27"/>
      <c r="J206" s="31">
        <f>SUM(R204:R205)</f>
        <v>7100.77</v>
      </c>
      <c r="K206" s="31"/>
    </row>
    <row r="207" spans="1:11" ht="14.25">
      <c r="A207" s="24"/>
      <c r="B207" s="25"/>
      <c r="C207" s="26" t="s">
        <v>374</v>
      </c>
      <c r="D207" s="28" t="s">
        <v>373</v>
      </c>
      <c r="E207" s="27">
        <f>Source!CA115</f>
        <v>44</v>
      </c>
      <c r="F207" s="30"/>
      <c r="G207" s="29"/>
      <c r="H207" s="27"/>
      <c r="I207" s="27"/>
      <c r="J207" s="31">
        <f>SUM(T204:T206)</f>
        <v>4339.36</v>
      </c>
      <c r="K207" s="31"/>
    </row>
    <row r="208" spans="1:11" ht="14.25">
      <c r="A208" s="34"/>
      <c r="B208" s="35"/>
      <c r="C208" s="36" t="s">
        <v>375</v>
      </c>
      <c r="D208" s="37" t="s">
        <v>376</v>
      </c>
      <c r="E208" s="38">
        <f>Source!AQ115</f>
        <v>532.3</v>
      </c>
      <c r="F208" s="39"/>
      <c r="G208" s="40">
        <f>Source!DI115</f>
      </c>
      <c r="H208" s="38">
        <f>Source!AV115</f>
        <v>1</v>
      </c>
      <c r="I208" s="38"/>
      <c r="J208" s="41"/>
      <c r="K208" s="41">
        <f>Source!U115</f>
        <v>63.87599999999999</v>
      </c>
    </row>
    <row r="209" spans="9:16" ht="15">
      <c r="I209" s="53">
        <f>Source!O115+SUM(J206:J207)</f>
        <v>21302.31</v>
      </c>
      <c r="J209" s="53"/>
      <c r="K209" s="33">
        <f>IF(Source!I115&lt;&gt;0,ROUND(I209/Source!I115,2),0)</f>
        <v>177519.25</v>
      </c>
      <c r="P209" s="32">
        <f>I209</f>
        <v>21302.31</v>
      </c>
    </row>
    <row r="210" spans="1:22" ht="42.75">
      <c r="A210" s="24" t="str">
        <f>Source!E116</f>
        <v>3</v>
      </c>
      <c r="B210" s="25" t="str">
        <f>Source!F116</f>
        <v>3.15-25-1</v>
      </c>
      <c r="C210" s="26" t="str">
        <f>Source!G116</f>
        <v>ОБЛИЦОВКА СТУПЕНЕЙ И ПОДСТУПЕНКОВ ГРАНИТНЫМИ ПЛИТАМИ</v>
      </c>
      <c r="D210" s="28" t="str">
        <f>Source!DW116</f>
        <v>100 м2</v>
      </c>
      <c r="E210" s="27">
        <f>Source!I116</f>
        <v>0.12</v>
      </c>
      <c r="F210" s="30"/>
      <c r="G210" s="29"/>
      <c r="H210" s="27"/>
      <c r="I210" s="27"/>
      <c r="J210" s="31"/>
      <c r="K210" s="31"/>
      <c r="Q210">
        <f>ROUND((Source!DN116/100)*ROUND(Source!CT116*Source!I116/IF(Source!BA116&lt;&gt;0,Source!BA116,1),2),2)</f>
        <v>2718.13</v>
      </c>
      <c r="R210">
        <f>Source!X116</f>
        <v>31906.71</v>
      </c>
      <c r="S210">
        <f>ROUND((Source!DO116/100)*ROUND(Source!CT116*Source!I116/IF(Source!BA116&lt;&gt;0,Source!BA116,1),2),2)</f>
        <v>1739.6</v>
      </c>
      <c r="T210">
        <f>Source!Y116</f>
        <v>16516.42</v>
      </c>
      <c r="U210">
        <f>ROUND((175/100)*ROUND(Source!CS116*Source!I116/IF(Source!BS116&lt;&gt;0,Source!BS116,1),2),2)</f>
        <v>12.67</v>
      </c>
      <c r="V210">
        <f>ROUND((169/100)*ROUND(Source!CS116*Source!I116,2),2)</f>
        <v>168.98</v>
      </c>
    </row>
    <row r="211" spans="1:11" ht="14.25">
      <c r="A211" s="24"/>
      <c r="B211" s="25"/>
      <c r="C211" s="26" t="s">
        <v>371</v>
      </c>
      <c r="D211" s="28"/>
      <c r="E211" s="27"/>
      <c r="F211" s="30">
        <f>Source!AO116</f>
        <v>19696.56</v>
      </c>
      <c r="G211" s="29" t="str">
        <f>Source!DG116</f>
        <v>*1,15</v>
      </c>
      <c r="H211" s="27">
        <f>Source!AV116</f>
        <v>1</v>
      </c>
      <c r="I211" s="27">
        <f>IF(Source!BA116&lt;&gt;0,Source!BA116,1)</f>
        <v>13.81</v>
      </c>
      <c r="J211" s="31">
        <f>Source!S116</f>
        <v>37537.31</v>
      </c>
      <c r="K211" s="31"/>
    </row>
    <row r="212" spans="1:11" ht="14.25">
      <c r="A212" s="24"/>
      <c r="B212" s="25"/>
      <c r="C212" s="26" t="s">
        <v>377</v>
      </c>
      <c r="D212" s="28"/>
      <c r="E212" s="27"/>
      <c r="F212" s="30">
        <f>Source!AM116</f>
        <v>1459.59</v>
      </c>
      <c r="G212" s="29" t="str">
        <f>Source!DE116</f>
        <v>*1,25</v>
      </c>
      <c r="H212" s="27">
        <f>Source!AV116</f>
        <v>1</v>
      </c>
      <c r="I212" s="27">
        <f>IF(Source!BB116&lt;&gt;0,Source!BB116,1)</f>
        <v>4.2</v>
      </c>
      <c r="J212" s="31">
        <f>Source!Q116</f>
        <v>919.54</v>
      </c>
      <c r="K212" s="31"/>
    </row>
    <row r="213" spans="1:11" ht="14.25">
      <c r="A213" s="24"/>
      <c r="B213" s="25"/>
      <c r="C213" s="26" t="s">
        <v>378</v>
      </c>
      <c r="D213" s="28"/>
      <c r="E213" s="27"/>
      <c r="F213" s="30">
        <f>Source!AN116</f>
        <v>48.27</v>
      </c>
      <c r="G213" s="29" t="str">
        <f>Source!DF116</f>
        <v>*1,25</v>
      </c>
      <c r="H213" s="27">
        <f>Source!AV116</f>
        <v>1</v>
      </c>
      <c r="I213" s="27">
        <f>IF(Source!BS116&lt;&gt;0,Source!BS116,1)</f>
        <v>13.81</v>
      </c>
      <c r="J213" s="31">
        <f>Source!R116</f>
        <v>99.99</v>
      </c>
      <c r="K213" s="31"/>
    </row>
    <row r="214" spans="1:11" ht="14.25">
      <c r="A214" s="24"/>
      <c r="B214" s="25"/>
      <c r="C214" s="26" t="s">
        <v>379</v>
      </c>
      <c r="D214" s="28"/>
      <c r="E214" s="27"/>
      <c r="F214" s="30">
        <f>Source!AL116</f>
        <v>3347.42</v>
      </c>
      <c r="G214" s="29">
        <f>Source!DD116</f>
      </c>
      <c r="H214" s="27">
        <f>Source!AW116</f>
        <v>1</v>
      </c>
      <c r="I214" s="27">
        <f>IF(Source!BC116&lt;&gt;0,Source!BC116,1)</f>
        <v>5.09</v>
      </c>
      <c r="J214" s="31">
        <f>Source!P116</f>
        <v>2044.6</v>
      </c>
      <c r="K214" s="31"/>
    </row>
    <row r="215" spans="1:22" ht="42.75">
      <c r="A215" s="24" t="str">
        <f>Source!E117</f>
        <v>3,1</v>
      </c>
      <c r="B215" s="25" t="str">
        <f>Source!F117</f>
        <v>1.7-3-65</v>
      </c>
      <c r="C215" s="26" t="str">
        <f>Source!G117</f>
        <v>ДИСК ОТРЕЗНОЙ С АЛМАЗНЫМ ПОКРЫТИЕМ 'HILTI' DC-D C1, ДИАМЕТР 125 ММ</v>
      </c>
      <c r="D215" s="28" t="str">
        <f>Source!DW117</f>
        <v>шт.</v>
      </c>
      <c r="E215" s="27">
        <f>Source!I117</f>
        <v>0.48</v>
      </c>
      <c r="F215" s="30">
        <f>Source!AK117</f>
        <v>1347.82</v>
      </c>
      <c r="G215" s="29"/>
      <c r="H215" s="27">
        <f>Source!AW117</f>
        <v>1</v>
      </c>
      <c r="I215" s="27">
        <f>IF(Source!BC117&lt;&gt;0,Source!BC117,1)</f>
        <v>2.04</v>
      </c>
      <c r="J215" s="31">
        <f>Source!O117</f>
        <v>1319.79</v>
      </c>
      <c r="K215" s="31"/>
      <c r="Q215">
        <f>ROUND((Source!DN117/100)*ROUND(Source!CT117*Source!I117/IF(Source!BA117&lt;&gt;0,Source!BA117,1),2),2)</f>
        <v>0</v>
      </c>
      <c r="R215">
        <f>Source!X117</f>
        <v>0</v>
      </c>
      <c r="S215">
        <f>ROUND((Source!DO117/100)*ROUND(Source!CT117*Source!I117/IF(Source!BA117&lt;&gt;0,Source!BA117,1),2),2)</f>
        <v>0</v>
      </c>
      <c r="T215">
        <f>Source!Y117</f>
        <v>0</v>
      </c>
      <c r="U215">
        <f>ROUND((175/100)*ROUND(Source!CS117*Source!I117/IF(Source!BS117&lt;&gt;0,Source!BS117,1),2),2)</f>
        <v>0</v>
      </c>
      <c r="V215">
        <f>ROUND((169/100)*ROUND(Source!CS117*Source!I117,2),2)</f>
        <v>0</v>
      </c>
    </row>
    <row r="216" spans="1:22" ht="28.5">
      <c r="A216" s="24" t="str">
        <f>Source!E118</f>
        <v>3,2</v>
      </c>
      <c r="B216" s="25" t="str">
        <f>Source!F118</f>
        <v>1.11-1-264</v>
      </c>
      <c r="C216" s="26" t="str">
        <f>Source!G118</f>
        <v>ПЛИТЫ ОБЛИЦОВОЧНЫЕ ГРАНИТНЫЕ, ТОЛЩИНА 30 ММ</v>
      </c>
      <c r="D216" s="28" t="str">
        <f>Source!DW118</f>
        <v>м2</v>
      </c>
      <c r="E216" s="27">
        <f>Source!I118</f>
        <v>12.24</v>
      </c>
      <c r="F216" s="30">
        <f>Source!AK118</f>
        <v>827.18</v>
      </c>
      <c r="G216" s="29"/>
      <c r="H216" s="27">
        <f>Source!AW118</f>
        <v>1</v>
      </c>
      <c r="I216" s="27">
        <f>IF(Source!BC118&lt;&gt;0,Source!BC118,1)</f>
        <v>3.35</v>
      </c>
      <c r="J216" s="31">
        <f>Source!O118</f>
        <v>33917.69</v>
      </c>
      <c r="K216" s="31"/>
      <c r="Q216">
        <f>ROUND((Source!DN118/100)*ROUND(Source!CT118*Source!I118/IF(Source!BA118&lt;&gt;0,Source!BA118,1),2),2)</f>
        <v>0</v>
      </c>
      <c r="R216">
        <f>Source!X118</f>
        <v>0</v>
      </c>
      <c r="S216">
        <f>ROUND((Source!DO118/100)*ROUND(Source!CT118*Source!I118/IF(Source!BA118&lt;&gt;0,Source!BA118,1),2),2)</f>
        <v>0</v>
      </c>
      <c r="T216">
        <f>Source!Y118</f>
        <v>0</v>
      </c>
      <c r="U216">
        <f>ROUND((175/100)*ROUND(Source!CS118*Source!I118/IF(Source!BS118&lt;&gt;0,Source!BS118,1),2),2)</f>
        <v>0</v>
      </c>
      <c r="V216">
        <f>ROUND((169/100)*ROUND(Source!CS118*Source!I118,2),2)</f>
        <v>0</v>
      </c>
    </row>
    <row r="217" spans="1:11" ht="14.25">
      <c r="A217" s="24"/>
      <c r="B217" s="25"/>
      <c r="C217" s="26" t="s">
        <v>372</v>
      </c>
      <c r="D217" s="28" t="s">
        <v>373</v>
      </c>
      <c r="E217" s="27">
        <f>Source!BZ116</f>
        <v>85</v>
      </c>
      <c r="F217" s="30"/>
      <c r="G217" s="29"/>
      <c r="H217" s="27"/>
      <c r="I217" s="27"/>
      <c r="J217" s="31">
        <f>SUM(R210:R216)</f>
        <v>31906.71</v>
      </c>
      <c r="K217" s="31"/>
    </row>
    <row r="218" spans="1:11" ht="14.25">
      <c r="A218" s="24"/>
      <c r="B218" s="25"/>
      <c r="C218" s="26" t="s">
        <v>374</v>
      </c>
      <c r="D218" s="28" t="s">
        <v>373</v>
      </c>
      <c r="E218" s="27">
        <f>Source!CA116</f>
        <v>44</v>
      </c>
      <c r="F218" s="30"/>
      <c r="G218" s="29"/>
      <c r="H218" s="27"/>
      <c r="I218" s="27"/>
      <c r="J218" s="31">
        <f>SUM(T210:T217)</f>
        <v>16516.42</v>
      </c>
      <c r="K218" s="31"/>
    </row>
    <row r="219" spans="1:11" ht="14.25">
      <c r="A219" s="24"/>
      <c r="B219" s="25"/>
      <c r="C219" s="26" t="s">
        <v>380</v>
      </c>
      <c r="D219" s="28" t="s">
        <v>373</v>
      </c>
      <c r="E219" s="27">
        <f>169</f>
        <v>169</v>
      </c>
      <c r="F219" s="30"/>
      <c r="G219" s="29"/>
      <c r="H219" s="27"/>
      <c r="I219" s="27"/>
      <c r="J219" s="31">
        <f>SUM(V210:V218)</f>
        <v>168.98</v>
      </c>
      <c r="K219" s="31"/>
    </row>
    <row r="220" spans="1:11" ht="14.25">
      <c r="A220" s="34"/>
      <c r="B220" s="35"/>
      <c r="C220" s="36" t="s">
        <v>375</v>
      </c>
      <c r="D220" s="37" t="s">
        <v>376</v>
      </c>
      <c r="E220" s="38">
        <f>Source!AQ116</f>
        <v>1391</v>
      </c>
      <c r="F220" s="39"/>
      <c r="G220" s="40" t="str">
        <f>Source!DI116</f>
        <v>*1,15</v>
      </c>
      <c r="H220" s="38">
        <f>Source!AV116</f>
        <v>1</v>
      </c>
      <c r="I220" s="38"/>
      <c r="J220" s="41"/>
      <c r="K220" s="41">
        <f>Source!U116</f>
        <v>191.95799999999997</v>
      </c>
    </row>
    <row r="221" spans="9:16" ht="15">
      <c r="I221" s="53">
        <f>Source!O116+SUM(J215:J219)</f>
        <v>124331.04</v>
      </c>
      <c r="J221" s="53"/>
      <c r="K221" s="33">
        <f>IF(Source!I116&lt;&gt;0,ROUND(I221/Source!I116,2),0)</f>
        <v>1036092</v>
      </c>
      <c r="P221" s="32">
        <f>I221</f>
        <v>124331.04</v>
      </c>
    </row>
    <row r="222" spans="1:22" ht="42.75">
      <c r="A222" s="24" t="str">
        <f>Source!E119</f>
        <v>4</v>
      </c>
      <c r="B222" s="25" t="str">
        <f>Source!F119</f>
        <v>3.7-60-4</v>
      </c>
      <c r="C222" s="26" t="str">
        <f>Source!G119</f>
        <v>УСТАНОВКА МЕТАЛЛИЧЕСКИХ ОГРАЖДЕНИЙ БЕЗ ПОРУЧНЯ- БЕЗ СТОИМОСТИ МАТЕРИАЛА</v>
      </c>
      <c r="D222" s="28" t="str">
        <f>Source!DW119</f>
        <v>100 м</v>
      </c>
      <c r="E222" s="27">
        <f>Source!I119</f>
        <v>0.21</v>
      </c>
      <c r="F222" s="30"/>
      <c r="G222" s="29"/>
      <c r="H222" s="27"/>
      <c r="I222" s="27"/>
      <c r="J222" s="31"/>
      <c r="K222" s="31"/>
      <c r="Q222">
        <f>ROUND((Source!DN119/100)*ROUND(Source!CT119*Source!I119/IF(Source!BA119&lt;&gt;0,Source!BA119,1),2),2)</f>
        <v>112.45</v>
      </c>
      <c r="R222">
        <f>Source!X119</f>
        <v>1314.04</v>
      </c>
      <c r="S222">
        <f>ROUND((Source!DO119/100)*ROUND(Source!CT119*Source!I119/IF(Source!BA119&lt;&gt;0,Source!BA119,1),2),2)</f>
        <v>86.5</v>
      </c>
      <c r="T222">
        <f>Source!Y119</f>
        <v>750.88</v>
      </c>
      <c r="U222">
        <f>ROUND((175/100)*ROUND(Source!CS119*Source!I119/IF(Source!BS119&lt;&gt;0,Source!BS119,1),2),2)</f>
        <v>8.8</v>
      </c>
      <c r="V222">
        <f>ROUND((169/100)*ROUND(Source!CS119*Source!I119,2),2)</f>
        <v>117.44</v>
      </c>
    </row>
    <row r="223" spans="1:11" ht="14.25">
      <c r="A223" s="24"/>
      <c r="B223" s="25"/>
      <c r="C223" s="26" t="s">
        <v>371</v>
      </c>
      <c r="D223" s="28"/>
      <c r="E223" s="27"/>
      <c r="F223" s="30">
        <f>Source!AO119</f>
        <v>511.69</v>
      </c>
      <c r="G223" s="29" t="str">
        <f>Source!DG119</f>
        <v>*1,15</v>
      </c>
      <c r="H223" s="27">
        <f>Source!AV119</f>
        <v>1</v>
      </c>
      <c r="I223" s="27">
        <f>IF(Source!BA119&lt;&gt;0,Source!BA119,1)</f>
        <v>13.81</v>
      </c>
      <c r="J223" s="31">
        <f>Source!S119</f>
        <v>1706.54</v>
      </c>
      <c r="K223" s="31"/>
    </row>
    <row r="224" spans="1:11" ht="14.25">
      <c r="A224" s="24"/>
      <c r="B224" s="25"/>
      <c r="C224" s="26" t="s">
        <v>377</v>
      </c>
      <c r="D224" s="28"/>
      <c r="E224" s="27"/>
      <c r="F224" s="30">
        <f>Source!AM119</f>
        <v>81.14</v>
      </c>
      <c r="G224" s="29" t="str">
        <f>Source!DE119</f>
        <v>*1,25</v>
      </c>
      <c r="H224" s="27">
        <f>Source!AV119</f>
        <v>1</v>
      </c>
      <c r="I224" s="27">
        <f>IF(Source!BB119&lt;&gt;0,Source!BB119,1)</f>
        <v>7.91</v>
      </c>
      <c r="J224" s="31">
        <f>Source!Q119</f>
        <v>168.48</v>
      </c>
      <c r="K224" s="31"/>
    </row>
    <row r="225" spans="1:11" ht="14.25">
      <c r="A225" s="24"/>
      <c r="B225" s="25"/>
      <c r="C225" s="26" t="s">
        <v>378</v>
      </c>
      <c r="D225" s="28"/>
      <c r="E225" s="27"/>
      <c r="F225" s="30">
        <f>Source!AN119</f>
        <v>19.17</v>
      </c>
      <c r="G225" s="29" t="str">
        <f>Source!DF119</f>
        <v>*1,25</v>
      </c>
      <c r="H225" s="27">
        <f>Source!AV119</f>
        <v>1</v>
      </c>
      <c r="I225" s="27">
        <f>IF(Source!BS119&lt;&gt;0,Source!BS119,1)</f>
        <v>13.81</v>
      </c>
      <c r="J225" s="31">
        <f>Source!R119</f>
        <v>69.49</v>
      </c>
      <c r="K225" s="31"/>
    </row>
    <row r="226" spans="1:11" ht="14.25">
      <c r="A226" s="24"/>
      <c r="B226" s="25"/>
      <c r="C226" s="26" t="s">
        <v>372</v>
      </c>
      <c r="D226" s="28" t="s">
        <v>373</v>
      </c>
      <c r="E226" s="27">
        <f>Source!BZ119</f>
        <v>77</v>
      </c>
      <c r="F226" s="30"/>
      <c r="G226" s="29"/>
      <c r="H226" s="27"/>
      <c r="I226" s="27"/>
      <c r="J226" s="31">
        <f>SUM(R222:R225)</f>
        <v>1314.04</v>
      </c>
      <c r="K226" s="31"/>
    </row>
    <row r="227" spans="1:11" ht="14.25">
      <c r="A227" s="24"/>
      <c r="B227" s="25"/>
      <c r="C227" s="26" t="s">
        <v>374</v>
      </c>
      <c r="D227" s="28" t="s">
        <v>373</v>
      </c>
      <c r="E227" s="27">
        <f>Source!CA119</f>
        <v>44</v>
      </c>
      <c r="F227" s="30"/>
      <c r="G227" s="29"/>
      <c r="H227" s="27"/>
      <c r="I227" s="27"/>
      <c r="J227" s="31">
        <f>SUM(T222:T226)</f>
        <v>750.88</v>
      </c>
      <c r="K227" s="31"/>
    </row>
    <row r="228" spans="1:11" ht="14.25">
      <c r="A228" s="24"/>
      <c r="B228" s="25"/>
      <c r="C228" s="26" t="s">
        <v>380</v>
      </c>
      <c r="D228" s="28" t="s">
        <v>373</v>
      </c>
      <c r="E228" s="27">
        <f>169</f>
        <v>169</v>
      </c>
      <c r="F228" s="30"/>
      <c r="G228" s="29"/>
      <c r="H228" s="27"/>
      <c r="I228" s="27"/>
      <c r="J228" s="31">
        <f>SUM(V222:V227)</f>
        <v>117.44</v>
      </c>
      <c r="K228" s="31"/>
    </row>
    <row r="229" spans="1:11" ht="14.25">
      <c r="A229" s="34"/>
      <c r="B229" s="35"/>
      <c r="C229" s="36" t="s">
        <v>375</v>
      </c>
      <c r="D229" s="37" t="s">
        <v>376</v>
      </c>
      <c r="E229" s="38">
        <f>Source!AQ119</f>
        <v>41.5</v>
      </c>
      <c r="F229" s="39"/>
      <c r="G229" s="40" t="str">
        <f>Source!DI119</f>
        <v>*1,15</v>
      </c>
      <c r="H229" s="38">
        <f>Source!AV119</f>
        <v>1</v>
      </c>
      <c r="I229" s="38"/>
      <c r="J229" s="41"/>
      <c r="K229" s="41">
        <f>Source!U119</f>
        <v>10.022249999999998</v>
      </c>
    </row>
    <row r="230" spans="9:16" ht="15">
      <c r="I230" s="53">
        <f>Source!O119+SUM(J226:J228)</f>
        <v>4057.38</v>
      </c>
      <c r="J230" s="53"/>
      <c r="K230" s="33">
        <f>IF(Source!I119&lt;&gt;0,ROUND(I230/Source!I119,2),0)</f>
        <v>19320.86</v>
      </c>
      <c r="P230" s="32">
        <f>I230</f>
        <v>4057.38</v>
      </c>
    </row>
    <row r="232" spans="1:32" ht="30">
      <c r="A232" s="55" t="str">
        <f>CONCATENATE("Итого по разделу: ",Source!G121)</f>
        <v>Итого по разделу: Текущий ремонт входной группы (со стороны ул. Люблинская) здания МДЦМП Марьино</v>
      </c>
      <c r="B232" s="55"/>
      <c r="C232" s="55"/>
      <c r="D232" s="55"/>
      <c r="E232" s="55"/>
      <c r="F232" s="55"/>
      <c r="G232" s="55"/>
      <c r="H232" s="55"/>
      <c r="I232" s="53">
        <f>SUM(P194:P231)</f>
        <v>151795.69</v>
      </c>
      <c r="J232" s="54"/>
      <c r="K232" s="42"/>
      <c r="AF232" s="43" t="str">
        <f>CONCATENATE("Итого по разделу: ",Source!G121)</f>
        <v>Итого по разделу: Текущий ремонт входной группы (со стороны ул. Люблинская) здания МДЦМП Марьино</v>
      </c>
    </row>
    <row r="237" spans="1:32" ht="45">
      <c r="A237" s="55" t="str">
        <f>CONCATENATE("Итого по смете: ",Source!G166)</f>
        <v>Итого по смете: 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v>
      </c>
      <c r="B237" s="55"/>
      <c r="C237" s="55"/>
      <c r="D237" s="55"/>
      <c r="E237" s="55"/>
      <c r="F237" s="55"/>
      <c r="G237" s="55"/>
      <c r="H237" s="55"/>
      <c r="I237" s="53">
        <f>SUM(P1:P236)</f>
        <v>457409.45</v>
      </c>
      <c r="J237" s="54"/>
      <c r="K237" s="42"/>
      <c r="AF237" s="43" t="str">
        <f>CONCATENATE("Итого по смете: ",Source!G166)</f>
        <v>Итого по смете: 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v>
      </c>
    </row>
    <row r="239" spans="3:34" ht="14.25">
      <c r="C239" s="51" t="str">
        <f>Source!H186</f>
        <v>Итого</v>
      </c>
      <c r="D239" s="51"/>
      <c r="E239" s="51"/>
      <c r="F239" s="51"/>
      <c r="G239" s="51"/>
      <c r="H239" s="51"/>
      <c r="I239" s="52">
        <f>Source!F186</f>
        <v>457409.45</v>
      </c>
      <c r="J239" s="52"/>
      <c r="AH239" s="26" t="str">
        <f>Source!H186</f>
        <v>Итого</v>
      </c>
    </row>
    <row r="240" spans="3:34" ht="14.25">
      <c r="C240" s="51" t="str">
        <f>Source!H187</f>
        <v>НДС 18 %</v>
      </c>
      <c r="D240" s="51"/>
      <c r="E240" s="51"/>
      <c r="F240" s="51"/>
      <c r="G240" s="51"/>
      <c r="H240" s="51"/>
      <c r="I240" s="52">
        <f>Source!F187</f>
        <v>82333.7</v>
      </c>
      <c r="J240" s="52"/>
      <c r="AH240" s="26" t="str">
        <f>Source!H187</f>
        <v>НДС 18 %</v>
      </c>
    </row>
    <row r="241" spans="3:34" ht="20.25">
      <c r="C241" s="49" t="str">
        <f>Source!H188</f>
        <v>ИТОГО С НДС</v>
      </c>
      <c r="D241" s="49"/>
      <c r="E241" s="49"/>
      <c r="F241" s="49"/>
      <c r="G241" s="49"/>
      <c r="H241" s="49"/>
      <c r="I241" s="50">
        <f>Source!F188</f>
        <v>539743.15</v>
      </c>
      <c r="J241" s="50"/>
      <c r="AH241" s="26" t="str">
        <f>Source!H188</f>
        <v>ИТОГО С НДС</v>
      </c>
    </row>
    <row r="244" spans="1:11" ht="14.25">
      <c r="A244" s="47" t="s">
        <v>381</v>
      </c>
      <c r="B244" s="47"/>
      <c r="C244" s="44" t="str">
        <f>IF(Source!AC12&lt;&gt;"",Source!AC12," ")</f>
        <v> </v>
      </c>
      <c r="D244" s="44"/>
      <c r="E244" s="44"/>
      <c r="F244" s="44"/>
      <c r="G244" s="44"/>
      <c r="H244" s="10" t="str">
        <f>IF(Source!AB12&lt;&gt;"",Source!AB12," ")</f>
        <v> </v>
      </c>
      <c r="I244" s="10"/>
      <c r="J244" s="10"/>
      <c r="K244" s="10"/>
    </row>
    <row r="245" spans="1:11" ht="14.25">
      <c r="A245" s="10"/>
      <c r="B245" s="10"/>
      <c r="C245" s="48" t="s">
        <v>382</v>
      </c>
      <c r="D245" s="48"/>
      <c r="E245" s="48"/>
      <c r="F245" s="48"/>
      <c r="G245" s="48"/>
      <c r="H245" s="10"/>
      <c r="I245" s="10"/>
      <c r="J245" s="10"/>
      <c r="K245" s="10"/>
    </row>
    <row r="246" spans="1:11" ht="14.25">
      <c r="A246" s="10"/>
      <c r="B246" s="10"/>
      <c r="C246" s="45"/>
      <c r="D246" s="45"/>
      <c r="E246" s="45"/>
      <c r="F246" s="45"/>
      <c r="G246" s="45"/>
      <c r="H246" s="10"/>
      <c r="I246" s="10"/>
      <c r="J246" s="10"/>
      <c r="K246" s="10"/>
    </row>
    <row r="247" spans="1:11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4.25">
      <c r="A248" s="47" t="s">
        <v>383</v>
      </c>
      <c r="B248" s="47"/>
      <c r="C248" s="44" t="str">
        <f>IF(Source!AE12&lt;&gt;"",Source!AE12," ")</f>
        <v> </v>
      </c>
      <c r="D248" s="44"/>
      <c r="E248" s="44"/>
      <c r="F248" s="44"/>
      <c r="G248" s="44"/>
      <c r="H248" s="10" t="str">
        <f>IF(Source!AD12&lt;&gt;"",Source!AD12," ")</f>
        <v> </v>
      </c>
      <c r="I248" s="10"/>
      <c r="J248" s="10"/>
      <c r="K248" s="10"/>
    </row>
    <row r="249" spans="1:11" ht="14.25">
      <c r="A249" s="10"/>
      <c r="B249" s="10"/>
      <c r="C249" s="48" t="s">
        <v>382</v>
      </c>
      <c r="D249" s="48"/>
      <c r="E249" s="48"/>
      <c r="F249" s="48"/>
      <c r="G249" s="48"/>
      <c r="H249" s="10"/>
      <c r="I249" s="10"/>
      <c r="J249" s="10"/>
      <c r="K249" s="10"/>
    </row>
  </sheetData>
  <sheetProtection/>
  <mergeCells count="78">
    <mergeCell ref="B9:E9"/>
    <mergeCell ref="G9:K9"/>
    <mergeCell ref="B10:E10"/>
    <mergeCell ref="G10:K10"/>
    <mergeCell ref="B3:E3"/>
    <mergeCell ref="G3:K3"/>
    <mergeCell ref="B4:E4"/>
    <mergeCell ref="G4:K4"/>
    <mergeCell ref="A19:K19"/>
    <mergeCell ref="A20:K20"/>
    <mergeCell ref="A22:K22"/>
    <mergeCell ref="F24:H24"/>
    <mergeCell ref="I24:J24"/>
    <mergeCell ref="A13:K13"/>
    <mergeCell ref="A14:K14"/>
    <mergeCell ref="A16:K16"/>
    <mergeCell ref="A17:K17"/>
    <mergeCell ref="F27:H27"/>
    <mergeCell ref="I27:J27"/>
    <mergeCell ref="F28:H28"/>
    <mergeCell ref="I28:J28"/>
    <mergeCell ref="F25:H25"/>
    <mergeCell ref="I25:J25"/>
    <mergeCell ref="F26:H26"/>
    <mergeCell ref="I26:J26"/>
    <mergeCell ref="F29:H29"/>
    <mergeCell ref="I29:J29"/>
    <mergeCell ref="A31:A33"/>
    <mergeCell ref="B31:B33"/>
    <mergeCell ref="C31:C33"/>
    <mergeCell ref="D31:D33"/>
    <mergeCell ref="E31:E33"/>
    <mergeCell ref="F31:F33"/>
    <mergeCell ref="G31:G33"/>
    <mergeCell ref="H31:H33"/>
    <mergeCell ref="I48:J48"/>
    <mergeCell ref="I60:J60"/>
    <mergeCell ref="I71:J71"/>
    <mergeCell ref="I80:J80"/>
    <mergeCell ref="I31:I33"/>
    <mergeCell ref="J31:J33"/>
    <mergeCell ref="A36:K36"/>
    <mergeCell ref="I42:J42"/>
    <mergeCell ref="I132:J132"/>
    <mergeCell ref="I142:J142"/>
    <mergeCell ref="I154:J154"/>
    <mergeCell ref="I156:J156"/>
    <mergeCell ref="I95:J95"/>
    <mergeCell ref="I106:J106"/>
    <mergeCell ref="I114:J114"/>
    <mergeCell ref="I126:J126"/>
    <mergeCell ref="I189:J189"/>
    <mergeCell ref="I191:J191"/>
    <mergeCell ref="A191:H191"/>
    <mergeCell ref="A194:K194"/>
    <mergeCell ref="A156:H156"/>
    <mergeCell ref="A159:K159"/>
    <mergeCell ref="I165:J165"/>
    <mergeCell ref="I177:J177"/>
    <mergeCell ref="I240:J240"/>
    <mergeCell ref="I232:J232"/>
    <mergeCell ref="A232:H232"/>
    <mergeCell ref="I237:J237"/>
    <mergeCell ref="A237:H237"/>
    <mergeCell ref="I203:J203"/>
    <mergeCell ref="I209:J209"/>
    <mergeCell ref="I221:J221"/>
    <mergeCell ref="I230:J230"/>
    <mergeCell ref="D2:K2"/>
    <mergeCell ref="A248:B248"/>
    <mergeCell ref="C249:G249"/>
    <mergeCell ref="C241:H241"/>
    <mergeCell ref="I241:J241"/>
    <mergeCell ref="A244:B244"/>
    <mergeCell ref="C245:G245"/>
    <mergeCell ref="C239:H239"/>
    <mergeCell ref="I239:J239"/>
    <mergeCell ref="C240:H240"/>
  </mergeCells>
  <printOptions/>
  <pageMargins left="0.4" right="0.2" top="0.2" bottom="0.4" header="0.2" footer="0.2"/>
  <pageSetup horizontalDpi="600" verticalDpi="600" orientation="portrait" paperSize="9" scale="60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198"/>
  <sheetViews>
    <sheetView tabSelected="1" zoomScalePageLayoutView="0" workbookViewId="0" topLeftCell="A4">
      <selection activeCell="C8" sqref="C8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26633</v>
      </c>
    </row>
    <row r="12" spans="1:133" ht="12.75">
      <c r="A12" s="1">
        <v>1</v>
      </c>
      <c r="B12" s="1">
        <v>193</v>
      </c>
      <c r="C12" s="1">
        <v>0</v>
      </c>
      <c r="D12" s="1">
        <f>ROW(A166)</f>
        <v>166</v>
      </c>
      <c r="E12" s="1">
        <v>0</v>
      </c>
      <c r="F12" s="1" t="s">
        <v>4</v>
      </c>
      <c r="G12" s="1" t="s">
        <v>386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169</v>
      </c>
      <c r="S12" s="1"/>
      <c r="T12" s="1"/>
      <c r="U12" s="1" t="s">
        <v>3</v>
      </c>
      <c r="V12" s="1">
        <v>0</v>
      </c>
      <c r="W12" s="1" t="s">
        <v>6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7</v>
      </c>
      <c r="AG12" s="1" t="s">
        <v>8</v>
      </c>
      <c r="AH12" s="1" t="s">
        <v>7</v>
      </c>
      <c r="AI12" s="1" t="s">
        <v>8</v>
      </c>
      <c r="AJ12" s="1" t="s">
        <v>9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9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10</v>
      </c>
      <c r="BI12" s="1" t="s">
        <v>11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12</v>
      </c>
      <c r="BZ12" s="1" t="s">
        <v>13</v>
      </c>
      <c r="CA12" s="1" t="s">
        <v>14</v>
      </c>
      <c r="CB12" s="1" t="s">
        <v>14</v>
      </c>
      <c r="CC12" s="1" t="s">
        <v>14</v>
      </c>
      <c r="CD12" s="1" t="s">
        <v>14</v>
      </c>
      <c r="CE12" s="1" t="s">
        <v>15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B166</f>
        <v>193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v>
      </c>
      <c r="H18" s="2"/>
      <c r="I18" s="2"/>
      <c r="J18" s="2"/>
      <c r="K18" s="2"/>
      <c r="L18" s="2"/>
      <c r="M18" s="2"/>
      <c r="N18" s="2"/>
      <c r="O18" s="2">
        <f aca="true" t="shared" si="1" ref="O18:AT18">O166</f>
        <v>266046.77</v>
      </c>
      <c r="P18" s="2">
        <f t="shared" si="1"/>
        <v>113934.04</v>
      </c>
      <c r="Q18" s="2">
        <f t="shared" si="1"/>
        <v>3218.44</v>
      </c>
      <c r="R18" s="2">
        <f t="shared" si="1"/>
        <v>1048.82</v>
      </c>
      <c r="S18" s="2">
        <f t="shared" si="1"/>
        <v>148894.29</v>
      </c>
      <c r="T18" s="2">
        <f t="shared" si="1"/>
        <v>0</v>
      </c>
      <c r="U18" s="2">
        <f t="shared" si="1"/>
        <v>898.30608745</v>
      </c>
      <c r="V18" s="2">
        <f t="shared" si="1"/>
        <v>0</v>
      </c>
      <c r="W18" s="2">
        <f t="shared" si="1"/>
        <v>0</v>
      </c>
      <c r="X18" s="2">
        <f t="shared" si="1"/>
        <v>124076.68</v>
      </c>
      <c r="Y18" s="2">
        <f t="shared" si="1"/>
        <v>65513.49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457409.45</v>
      </c>
      <c r="AS18" s="2">
        <f t="shared" si="1"/>
        <v>457409.45</v>
      </c>
      <c r="AT18" s="2">
        <f t="shared" si="1"/>
        <v>0</v>
      </c>
      <c r="AU18" s="2">
        <f aca="true" t="shared" si="2" ref="AU18:BZ18">AU166</f>
        <v>0</v>
      </c>
      <c r="AV18" s="2">
        <f t="shared" si="2"/>
        <v>0</v>
      </c>
      <c r="AW18" s="2">
        <f t="shared" si="2"/>
        <v>0</v>
      </c>
      <c r="AX18" s="2">
        <f t="shared" si="2"/>
        <v>0</v>
      </c>
      <c r="AY18" s="2">
        <f t="shared" si="2"/>
        <v>0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CA166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DG166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ROW(A142)</f>
        <v>142</v>
      </c>
      <c r="E20" s="1"/>
      <c r="F20" s="1"/>
      <c r="G20" s="1"/>
      <c r="H20" s="1" t="s">
        <v>3</v>
      </c>
      <c r="I20" s="1">
        <v>0</v>
      </c>
      <c r="J20" s="1" t="s">
        <v>3</v>
      </c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B142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>
        <f t="shared" si="5"/>
      </c>
      <c r="G22" s="2">
        <f t="shared" si="5"/>
      </c>
      <c r="H22" s="2"/>
      <c r="I22" s="2"/>
      <c r="J22" s="2"/>
      <c r="K22" s="2"/>
      <c r="L22" s="2"/>
      <c r="M22" s="2"/>
      <c r="N22" s="2"/>
      <c r="O22" s="2">
        <f aca="true" t="shared" si="6" ref="O22:AT22">O142</f>
        <v>266046.77</v>
      </c>
      <c r="P22" s="2">
        <f t="shared" si="6"/>
        <v>113934.04</v>
      </c>
      <c r="Q22" s="2">
        <f t="shared" si="6"/>
        <v>3218.44</v>
      </c>
      <c r="R22" s="2">
        <f t="shared" si="6"/>
        <v>1048.82</v>
      </c>
      <c r="S22" s="2">
        <f t="shared" si="6"/>
        <v>148894.29</v>
      </c>
      <c r="T22" s="2">
        <f t="shared" si="6"/>
        <v>0</v>
      </c>
      <c r="U22" s="2">
        <f t="shared" si="6"/>
        <v>898.30608745</v>
      </c>
      <c r="V22" s="2">
        <f t="shared" si="6"/>
        <v>0</v>
      </c>
      <c r="W22" s="2">
        <f t="shared" si="6"/>
        <v>0</v>
      </c>
      <c r="X22" s="2">
        <f t="shared" si="6"/>
        <v>124076.68</v>
      </c>
      <c r="Y22" s="2">
        <f t="shared" si="6"/>
        <v>65513.49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457409.45</v>
      </c>
      <c r="AS22" s="2">
        <f t="shared" si="6"/>
        <v>457409.45</v>
      </c>
      <c r="AT22" s="2">
        <f t="shared" si="6"/>
        <v>0</v>
      </c>
      <c r="AU22" s="2">
        <f aca="true" t="shared" si="7" ref="AU22:BZ22">AU142</f>
        <v>0</v>
      </c>
      <c r="AV22" s="2">
        <f t="shared" si="7"/>
        <v>0</v>
      </c>
      <c r="AW22" s="2">
        <f t="shared" si="7"/>
        <v>0</v>
      </c>
      <c r="AX22" s="2">
        <f t="shared" si="7"/>
        <v>0</v>
      </c>
      <c r="AY22" s="2">
        <f t="shared" si="7"/>
        <v>0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CA142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DG142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ROW(A56)</f>
        <v>56</v>
      </c>
      <c r="E24" s="1"/>
      <c r="F24" s="1" t="s">
        <v>17</v>
      </c>
      <c r="G24" s="1" t="s">
        <v>389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2">
        <v>52</v>
      </c>
      <c r="B26" s="2">
        <f aca="true" t="shared" si="10" ref="B26:G26">B56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Текущий ремонт помещения IX (вход 2, 1 этаж) </v>
      </c>
      <c r="H26" s="2"/>
      <c r="I26" s="2"/>
      <c r="J26" s="2"/>
      <c r="K26" s="2"/>
      <c r="L26" s="2"/>
      <c r="M26" s="2"/>
      <c r="N26" s="2"/>
      <c r="O26" s="2">
        <f aca="true" t="shared" si="11" ref="O26:AT26">O56</f>
        <v>172522.81</v>
      </c>
      <c r="P26" s="2">
        <f t="shared" si="11"/>
        <v>75522.84</v>
      </c>
      <c r="Q26" s="2">
        <f t="shared" si="11"/>
        <v>1700.43</v>
      </c>
      <c r="R26" s="2">
        <f t="shared" si="11"/>
        <v>674.29</v>
      </c>
      <c r="S26" s="2">
        <f t="shared" si="11"/>
        <v>95299.54</v>
      </c>
      <c r="T26" s="2">
        <f t="shared" si="11"/>
        <v>0</v>
      </c>
      <c r="U26" s="2">
        <f t="shared" si="11"/>
        <v>605.08083745</v>
      </c>
      <c r="V26" s="2">
        <f t="shared" si="11"/>
        <v>0</v>
      </c>
      <c r="W26" s="2">
        <f t="shared" si="11"/>
        <v>0</v>
      </c>
      <c r="X26" s="2">
        <f t="shared" si="11"/>
        <v>80146.11</v>
      </c>
      <c r="Y26" s="2">
        <f t="shared" si="11"/>
        <v>41931.8</v>
      </c>
      <c r="Z26" s="2">
        <f t="shared" si="11"/>
        <v>0</v>
      </c>
      <c r="AA26" s="2">
        <f t="shared" si="11"/>
        <v>0</v>
      </c>
      <c r="AB26" s="2">
        <f t="shared" si="11"/>
        <v>172522.81</v>
      </c>
      <c r="AC26" s="2">
        <f t="shared" si="11"/>
        <v>75522.84</v>
      </c>
      <c r="AD26" s="2">
        <f t="shared" si="11"/>
        <v>1700.43</v>
      </c>
      <c r="AE26" s="2">
        <f t="shared" si="11"/>
        <v>674.29</v>
      </c>
      <c r="AF26" s="2">
        <f t="shared" si="11"/>
        <v>95299.54</v>
      </c>
      <c r="AG26" s="2">
        <f t="shared" si="11"/>
        <v>0</v>
      </c>
      <c r="AH26" s="2">
        <f t="shared" si="11"/>
        <v>605.08083745</v>
      </c>
      <c r="AI26" s="2">
        <f t="shared" si="11"/>
        <v>0</v>
      </c>
      <c r="AJ26" s="2">
        <f t="shared" si="11"/>
        <v>0</v>
      </c>
      <c r="AK26" s="2">
        <f t="shared" si="11"/>
        <v>80146.11</v>
      </c>
      <c r="AL26" s="2">
        <f t="shared" si="11"/>
        <v>41931.8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295740.28</v>
      </c>
      <c r="AS26" s="2">
        <f t="shared" si="11"/>
        <v>295740.28</v>
      </c>
      <c r="AT26" s="2">
        <f t="shared" si="11"/>
        <v>0</v>
      </c>
      <c r="AU26" s="2">
        <f aca="true" t="shared" si="12" ref="AU26:BZ26">AU56</f>
        <v>0</v>
      </c>
      <c r="AV26" s="2">
        <f t="shared" si="12"/>
        <v>0</v>
      </c>
      <c r="AW26" s="2">
        <f t="shared" si="12"/>
        <v>0</v>
      </c>
      <c r="AX26" s="2">
        <f t="shared" si="12"/>
        <v>0</v>
      </c>
      <c r="AY26" s="2">
        <f t="shared" si="12"/>
        <v>0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295740.28</v>
      </c>
      <c r="BF26" s="2">
        <f t="shared" si="12"/>
        <v>295740.28</v>
      </c>
      <c r="BG26" s="2">
        <f t="shared" si="12"/>
        <v>0</v>
      </c>
      <c r="BH26" s="2">
        <f t="shared" si="12"/>
        <v>0</v>
      </c>
      <c r="BI26" s="2">
        <f t="shared" si="12"/>
        <v>0</v>
      </c>
      <c r="BJ26" s="2">
        <f t="shared" si="12"/>
        <v>0</v>
      </c>
      <c r="BK26" s="2">
        <f t="shared" si="12"/>
        <v>0</v>
      </c>
      <c r="BL26" s="2">
        <f t="shared" si="12"/>
        <v>0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aca="true" t="shared" si="13" ref="CA26:DF26">CA56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aca="true" t="shared" si="14" ref="DG26:DN26">DG56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200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18</v>
      </c>
      <c r="F28" t="s">
        <v>19</v>
      </c>
      <c r="G28" t="s">
        <v>20</v>
      </c>
      <c r="H28" t="s">
        <v>21</v>
      </c>
      <c r="I28">
        <v>0.5634</v>
      </c>
      <c r="J28">
        <v>0</v>
      </c>
      <c r="O28">
        <f aca="true" t="shared" si="15" ref="O28:O54">ROUND(CP28,2)</f>
        <v>299.78</v>
      </c>
      <c r="P28">
        <f aca="true" t="shared" si="16" ref="P28:P54">ROUND(CQ28*I28,2)</f>
        <v>0</v>
      </c>
      <c r="Q28">
        <f aca="true" t="shared" si="17" ref="Q28:Q54">ROUND(CR28*I28,2)</f>
        <v>0</v>
      </c>
      <c r="R28">
        <f aca="true" t="shared" si="18" ref="R28:R54">ROUND(CS28*I28,2)</f>
        <v>0</v>
      </c>
      <c r="S28">
        <f aca="true" t="shared" si="19" ref="S28:S54">ROUND(CT28*I28,2)</f>
        <v>299.78</v>
      </c>
      <c r="T28">
        <f aca="true" t="shared" si="20" ref="T28:T54">ROUND(CU28*I28,2)</f>
        <v>0</v>
      </c>
      <c r="U28">
        <f aca="true" t="shared" si="21" ref="U28:U54">CV28*I28</f>
        <v>2.124018</v>
      </c>
      <c r="V28">
        <f aca="true" t="shared" si="22" ref="V28:V54">CW28*I28</f>
        <v>0</v>
      </c>
      <c r="W28">
        <f aca="true" t="shared" si="23" ref="W28:W54">ROUND(CX28*I28,2)</f>
        <v>0</v>
      </c>
      <c r="X28">
        <f aca="true" t="shared" si="24" ref="X28:X54">ROUND(CY28,2)</f>
        <v>215.84</v>
      </c>
      <c r="Y28">
        <f aca="true" t="shared" si="25" ref="Y28:Y54">ROUND(CZ28,2)</f>
        <v>131.9</v>
      </c>
      <c r="AA28">
        <v>16903935</v>
      </c>
      <c r="AB28">
        <f aca="true" t="shared" si="26" ref="AB28:AB54">ROUND((AC28+AD28+AF28),6)</f>
        <v>38.53</v>
      </c>
      <c r="AC28">
        <f aca="true" t="shared" si="27" ref="AC28:AC54">ROUND((ES28),6)</f>
        <v>0</v>
      </c>
      <c r="AD28">
        <f>ROUND((((ET28)-(EU28))+AE28),6)</f>
        <v>0</v>
      </c>
      <c r="AE28">
        <f>ROUND((EU28),6)</f>
        <v>0</v>
      </c>
      <c r="AF28">
        <f>ROUND((EV28),6)</f>
        <v>38.53</v>
      </c>
      <c r="AG28">
        <f aca="true" t="shared" si="28" ref="AG28:AG54">ROUND((AP28),6)</f>
        <v>0</v>
      </c>
      <c r="AH28">
        <f>(EW28)</f>
        <v>3.77</v>
      </c>
      <c r="AI28">
        <f>(EX28)</f>
        <v>0</v>
      </c>
      <c r="AJ28">
        <f aca="true" t="shared" si="29" ref="AJ28:AJ54">ROUND((AS28),6)</f>
        <v>0</v>
      </c>
      <c r="AK28">
        <v>38.53</v>
      </c>
      <c r="AL28">
        <v>0</v>
      </c>
      <c r="AM28">
        <v>0</v>
      </c>
      <c r="AN28">
        <v>0</v>
      </c>
      <c r="AO28">
        <v>38.53</v>
      </c>
      <c r="AP28">
        <v>0</v>
      </c>
      <c r="AQ28">
        <v>3.77</v>
      </c>
      <c r="AR28">
        <v>0</v>
      </c>
      <c r="AS28">
        <v>0</v>
      </c>
      <c r="AT28">
        <v>72</v>
      </c>
      <c r="AU28">
        <v>44</v>
      </c>
      <c r="AV28">
        <v>1</v>
      </c>
      <c r="AW28">
        <v>1</v>
      </c>
      <c r="AZ28">
        <v>1</v>
      </c>
      <c r="BA28">
        <v>13.81</v>
      </c>
      <c r="BB28">
        <v>1</v>
      </c>
      <c r="BC28">
        <v>1</v>
      </c>
      <c r="BH28">
        <v>0</v>
      </c>
      <c r="BI28">
        <v>1</v>
      </c>
      <c r="BJ28" t="s">
        <v>22</v>
      </c>
      <c r="BM28">
        <v>439</v>
      </c>
      <c r="BN28">
        <v>0</v>
      </c>
      <c r="BO28" t="s">
        <v>19</v>
      </c>
      <c r="BP28">
        <v>1</v>
      </c>
      <c r="BQ28">
        <v>60</v>
      </c>
      <c r="BS28">
        <v>13.81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72</v>
      </c>
      <c r="CA28">
        <v>44</v>
      </c>
      <c r="CF28">
        <v>0</v>
      </c>
      <c r="CG28">
        <v>0</v>
      </c>
      <c r="CM28">
        <v>0</v>
      </c>
      <c r="CO28">
        <v>0</v>
      </c>
      <c r="CP28">
        <f aca="true" t="shared" si="30" ref="CP28:CP54">(P28+Q28+S28)</f>
        <v>299.78</v>
      </c>
      <c r="CQ28">
        <f aca="true" t="shared" si="31" ref="CQ28:CQ54">((AC28*AW28))*BC28</f>
        <v>0</v>
      </c>
      <c r="CR28">
        <f aca="true" t="shared" si="32" ref="CR28:CR54">((AD28*AV28))*BB28</f>
        <v>0</v>
      </c>
      <c r="CS28">
        <f aca="true" t="shared" si="33" ref="CS28:CS54">((AE28*AV28))*BS28</f>
        <v>0</v>
      </c>
      <c r="CT28">
        <f aca="true" t="shared" si="34" ref="CT28:CT54">((AF28*AV28))*BA28</f>
        <v>532.0993000000001</v>
      </c>
      <c r="CU28">
        <f aca="true" t="shared" si="35" ref="CU28:CU54">AG28</f>
        <v>0</v>
      </c>
      <c r="CV28">
        <f aca="true" t="shared" si="36" ref="CV28:CV54">(AH28*AV28)</f>
        <v>3.77</v>
      </c>
      <c r="CW28">
        <f aca="true" t="shared" si="37" ref="CW28:CW54">AI28</f>
        <v>0</v>
      </c>
      <c r="CX28">
        <f aca="true" t="shared" si="38" ref="CX28:CX54">AJ28</f>
        <v>0</v>
      </c>
      <c r="CY28">
        <f aca="true" t="shared" si="39" ref="CY28:CY54">S28*(BZ28/100)</f>
        <v>215.84159999999997</v>
      </c>
      <c r="CZ28">
        <f aca="true" t="shared" si="40" ref="CZ28:CZ54">S28*(CA28/100)</f>
        <v>131.9032</v>
      </c>
      <c r="DN28">
        <v>80</v>
      </c>
      <c r="DO28">
        <v>55</v>
      </c>
      <c r="DP28">
        <v>1.047</v>
      </c>
      <c r="DQ28">
        <v>1</v>
      </c>
      <c r="DU28">
        <v>1003</v>
      </c>
      <c r="DV28" t="s">
        <v>21</v>
      </c>
      <c r="DW28" t="s">
        <v>21</v>
      </c>
      <c r="DX28">
        <v>100</v>
      </c>
      <c r="EE28">
        <v>16350302</v>
      </c>
      <c r="EF28">
        <v>60</v>
      </c>
      <c r="EG28" t="s">
        <v>23</v>
      </c>
      <c r="EH28">
        <v>0</v>
      </c>
      <c r="EJ28">
        <v>1</v>
      </c>
      <c r="EK28">
        <v>439</v>
      </c>
      <c r="EL28" t="s">
        <v>24</v>
      </c>
      <c r="EM28" t="s">
        <v>25</v>
      </c>
      <c r="EQ28">
        <v>0</v>
      </c>
      <c r="ER28">
        <v>38.53</v>
      </c>
      <c r="ES28">
        <v>0</v>
      </c>
      <c r="ET28">
        <v>0</v>
      </c>
      <c r="EU28">
        <v>0</v>
      </c>
      <c r="EV28">
        <v>38.53</v>
      </c>
      <c r="EW28">
        <v>3.77</v>
      </c>
      <c r="EX28">
        <v>0</v>
      </c>
      <c r="EY28">
        <v>0</v>
      </c>
      <c r="EZ28">
        <v>0</v>
      </c>
      <c r="FQ28">
        <v>0</v>
      </c>
      <c r="FR28">
        <f aca="true" t="shared" si="41" ref="FR28:FR54">ROUND(IF(AND(BH28=3,BI28=3),P28,0),2)</f>
        <v>0</v>
      </c>
      <c r="FS28">
        <v>0</v>
      </c>
      <c r="FX28">
        <v>72</v>
      </c>
      <c r="FY28">
        <v>44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aca="true" t="shared" si="42" ref="GL28:GL54">ROUND(IF(AND(BH28=3,BI28=3,FS28&lt;&gt;0),P28,0),2)</f>
        <v>0</v>
      </c>
      <c r="GM28">
        <f aca="true" t="shared" si="43" ref="GM28:GM54">O28+X28+Y28+GK28</f>
        <v>647.52</v>
      </c>
      <c r="GN28">
        <f aca="true" t="shared" si="44" ref="GN28:GN54">ROUND(IF(OR(BI28=0,BI28=1),O28+X28+Y28+GK28,0),2)</f>
        <v>647.52</v>
      </c>
      <c r="GO28">
        <f aca="true" t="shared" si="45" ref="GO28:GO54">ROUND(IF(BI28=2,O28+X28+Y28+GK28,0),2)</f>
        <v>0</v>
      </c>
      <c r="GP28">
        <f aca="true" t="shared" si="46" ref="GP28:GP54">ROUND(IF(BI28=4,O28+X28+Y28+GK28,0),2)</f>
        <v>0</v>
      </c>
      <c r="GR28">
        <v>0</v>
      </c>
    </row>
    <row r="29" spans="1:200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26</v>
      </c>
      <c r="F29" t="s">
        <v>27</v>
      </c>
      <c r="G29" t="s">
        <v>28</v>
      </c>
      <c r="H29" t="s">
        <v>29</v>
      </c>
      <c r="I29">
        <v>0.5637</v>
      </c>
      <c r="J29">
        <v>0</v>
      </c>
      <c r="O29">
        <f t="shared" si="15"/>
        <v>1042.15</v>
      </c>
      <c r="P29">
        <f t="shared" si="16"/>
        <v>0</v>
      </c>
      <c r="Q29">
        <f t="shared" si="17"/>
        <v>0</v>
      </c>
      <c r="R29">
        <f t="shared" si="18"/>
        <v>0</v>
      </c>
      <c r="S29">
        <f t="shared" si="19"/>
        <v>1042.15</v>
      </c>
      <c r="T29">
        <f t="shared" si="20"/>
        <v>0</v>
      </c>
      <c r="U29">
        <f t="shared" si="21"/>
        <v>7.383624449999999</v>
      </c>
      <c r="V29">
        <f t="shared" si="22"/>
        <v>0</v>
      </c>
      <c r="W29">
        <f t="shared" si="23"/>
        <v>0</v>
      </c>
      <c r="X29">
        <f t="shared" si="24"/>
        <v>750.35</v>
      </c>
      <c r="Y29">
        <f t="shared" si="25"/>
        <v>458.55</v>
      </c>
      <c r="AA29">
        <v>16903935</v>
      </c>
      <c r="AB29">
        <f t="shared" si="26"/>
        <v>133.8715</v>
      </c>
      <c r="AC29">
        <f t="shared" si="27"/>
        <v>0</v>
      </c>
      <c r="AD29">
        <f>ROUND(((((ET29*1.25))-((EU29*1.25)))+AE29),6)</f>
        <v>0</v>
      </c>
      <c r="AE29">
        <f>ROUND(((EU29*1.25)),6)</f>
        <v>0</v>
      </c>
      <c r="AF29">
        <f>ROUND(((EV29*1.15)),6)</f>
        <v>133.8715</v>
      </c>
      <c r="AG29">
        <f t="shared" si="28"/>
        <v>0</v>
      </c>
      <c r="AH29">
        <f>((EW29*1.15))</f>
        <v>13.0985</v>
      </c>
      <c r="AI29">
        <f>((EX29*1.25))</f>
        <v>0</v>
      </c>
      <c r="AJ29">
        <f t="shared" si="29"/>
        <v>0</v>
      </c>
      <c r="AK29">
        <v>116.41</v>
      </c>
      <c r="AL29">
        <v>0</v>
      </c>
      <c r="AM29">
        <v>0</v>
      </c>
      <c r="AN29">
        <v>0</v>
      </c>
      <c r="AO29">
        <v>116.41</v>
      </c>
      <c r="AP29">
        <v>0</v>
      </c>
      <c r="AQ29">
        <v>11.39</v>
      </c>
      <c r="AR29">
        <v>0</v>
      </c>
      <c r="AS29">
        <v>0</v>
      </c>
      <c r="AT29">
        <v>72</v>
      </c>
      <c r="AU29">
        <v>44</v>
      </c>
      <c r="AV29">
        <v>1</v>
      </c>
      <c r="AW29">
        <v>1</v>
      </c>
      <c r="AZ29">
        <v>1</v>
      </c>
      <c r="BA29">
        <v>13.81</v>
      </c>
      <c r="BB29">
        <v>1</v>
      </c>
      <c r="BC29">
        <v>1</v>
      </c>
      <c r="BH29">
        <v>0</v>
      </c>
      <c r="BI29">
        <v>1</v>
      </c>
      <c r="BJ29" t="s">
        <v>30</v>
      </c>
      <c r="BM29">
        <v>439</v>
      </c>
      <c r="BN29">
        <v>0</v>
      </c>
      <c r="BO29" t="s">
        <v>27</v>
      </c>
      <c r="BP29">
        <v>1</v>
      </c>
      <c r="BQ29">
        <v>60</v>
      </c>
      <c r="BS29">
        <v>13.81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72</v>
      </c>
      <c r="CA29">
        <v>44</v>
      </c>
      <c r="CF29">
        <v>0</v>
      </c>
      <c r="CG29">
        <v>0</v>
      </c>
      <c r="CM29">
        <v>0</v>
      </c>
      <c r="CO29">
        <v>0</v>
      </c>
      <c r="CP29">
        <f t="shared" si="30"/>
        <v>1042.15</v>
      </c>
      <c r="CQ29">
        <f t="shared" si="31"/>
        <v>0</v>
      </c>
      <c r="CR29">
        <f t="shared" si="32"/>
        <v>0</v>
      </c>
      <c r="CS29">
        <f t="shared" si="33"/>
        <v>0</v>
      </c>
      <c r="CT29">
        <f t="shared" si="34"/>
        <v>1848.765415</v>
      </c>
      <c r="CU29">
        <f t="shared" si="35"/>
        <v>0</v>
      </c>
      <c r="CV29">
        <f t="shared" si="36"/>
        <v>13.0985</v>
      </c>
      <c r="CW29">
        <f t="shared" si="37"/>
        <v>0</v>
      </c>
      <c r="CX29">
        <f t="shared" si="38"/>
        <v>0</v>
      </c>
      <c r="CY29">
        <f t="shared" si="39"/>
        <v>750.3480000000001</v>
      </c>
      <c r="CZ29">
        <f t="shared" si="40"/>
        <v>458.54600000000005</v>
      </c>
      <c r="DE29" t="s">
        <v>31</v>
      </c>
      <c r="DF29" t="s">
        <v>31</v>
      </c>
      <c r="DG29" t="s">
        <v>32</v>
      </c>
      <c r="DI29" t="s">
        <v>32</v>
      </c>
      <c r="DJ29" t="s">
        <v>31</v>
      </c>
      <c r="DN29">
        <v>80</v>
      </c>
      <c r="DO29">
        <v>55</v>
      </c>
      <c r="DP29">
        <v>1.047</v>
      </c>
      <c r="DQ29">
        <v>1</v>
      </c>
      <c r="DU29">
        <v>1005</v>
      </c>
      <c r="DV29" t="s">
        <v>29</v>
      </c>
      <c r="DW29" t="s">
        <v>29</v>
      </c>
      <c r="DX29">
        <v>100</v>
      </c>
      <c r="EE29">
        <v>16350302</v>
      </c>
      <c r="EF29">
        <v>60</v>
      </c>
      <c r="EG29" t="s">
        <v>23</v>
      </c>
      <c r="EH29">
        <v>0</v>
      </c>
      <c r="EJ29">
        <v>1</v>
      </c>
      <c r="EK29">
        <v>439</v>
      </c>
      <c r="EL29" t="s">
        <v>24</v>
      </c>
      <c r="EM29" t="s">
        <v>25</v>
      </c>
      <c r="EQ29">
        <v>0</v>
      </c>
      <c r="ER29">
        <v>116.41</v>
      </c>
      <c r="ES29">
        <v>0</v>
      </c>
      <c r="ET29">
        <v>0</v>
      </c>
      <c r="EU29">
        <v>0</v>
      </c>
      <c r="EV29">
        <v>116.41</v>
      </c>
      <c r="EW29">
        <v>11.39</v>
      </c>
      <c r="EX29">
        <v>0</v>
      </c>
      <c r="EY29">
        <v>0</v>
      </c>
      <c r="EZ29">
        <v>0</v>
      </c>
      <c r="FQ29">
        <v>0</v>
      </c>
      <c r="FR29">
        <f t="shared" si="41"/>
        <v>0</v>
      </c>
      <c r="FS29">
        <v>0</v>
      </c>
      <c r="FX29">
        <v>72</v>
      </c>
      <c r="FY29">
        <v>44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42"/>
        <v>0</v>
      </c>
      <c r="GM29">
        <f t="shared" si="43"/>
        <v>2251.05</v>
      </c>
      <c r="GN29">
        <f t="shared" si="44"/>
        <v>2251.05</v>
      </c>
      <c r="GO29">
        <f t="shared" si="45"/>
        <v>0</v>
      </c>
      <c r="GP29">
        <f t="shared" si="46"/>
        <v>0</v>
      </c>
      <c r="GR29">
        <v>0</v>
      </c>
    </row>
    <row r="30" spans="1:200" ht="12.75">
      <c r="A30">
        <v>17</v>
      </c>
      <c r="B30">
        <v>1</v>
      </c>
      <c r="C30">
        <f>ROW(SmtRes!A9)</f>
        <v>9</v>
      </c>
      <c r="D30">
        <f>ROW(EtalonRes!A9)</f>
        <v>9</v>
      </c>
      <c r="E30" t="s">
        <v>33</v>
      </c>
      <c r="F30" t="s">
        <v>34</v>
      </c>
      <c r="G30" t="s">
        <v>35</v>
      </c>
      <c r="H30" t="s">
        <v>29</v>
      </c>
      <c r="I30">
        <v>0.5637</v>
      </c>
      <c r="J30">
        <v>0</v>
      </c>
      <c r="O30">
        <f t="shared" si="15"/>
        <v>4428.81</v>
      </c>
      <c r="P30">
        <f t="shared" si="16"/>
        <v>2.41</v>
      </c>
      <c r="Q30">
        <f t="shared" si="17"/>
        <v>356.82</v>
      </c>
      <c r="R30">
        <f t="shared" si="18"/>
        <v>147.23</v>
      </c>
      <c r="S30">
        <f t="shared" si="19"/>
        <v>4069.58</v>
      </c>
      <c r="T30">
        <f t="shared" si="20"/>
        <v>0</v>
      </c>
      <c r="U30">
        <f t="shared" si="21"/>
        <v>24.763341</v>
      </c>
      <c r="V30">
        <f t="shared" si="22"/>
        <v>0</v>
      </c>
      <c r="W30">
        <f t="shared" si="23"/>
        <v>0</v>
      </c>
      <c r="X30">
        <f t="shared" si="24"/>
        <v>3621.93</v>
      </c>
      <c r="Y30">
        <f t="shared" si="25"/>
        <v>1790.62</v>
      </c>
      <c r="AA30">
        <v>16903935</v>
      </c>
      <c r="AB30">
        <f t="shared" si="26"/>
        <v>603.772</v>
      </c>
      <c r="AC30">
        <f t="shared" si="27"/>
        <v>0.98</v>
      </c>
      <c r="AD30">
        <f>ROUND(((((ET30*1.25))-((EU30*1.25)))+AE30),6)</f>
        <v>80.025</v>
      </c>
      <c r="AE30">
        <f>ROUND(((EU30*1.25)),6)</f>
        <v>18.9125</v>
      </c>
      <c r="AF30">
        <f>ROUND(((EV30*1.15)),6)</f>
        <v>522.767</v>
      </c>
      <c r="AG30">
        <f t="shared" si="28"/>
        <v>0</v>
      </c>
      <c r="AH30">
        <f>((EW30*1.15))</f>
        <v>43.93</v>
      </c>
      <c r="AI30">
        <f>((EX30*1.25))</f>
        <v>0</v>
      </c>
      <c r="AJ30">
        <f t="shared" si="29"/>
        <v>0</v>
      </c>
      <c r="AK30">
        <v>519.58</v>
      </c>
      <c r="AL30">
        <v>0.98</v>
      </c>
      <c r="AM30">
        <v>64.02</v>
      </c>
      <c r="AN30">
        <v>15.13</v>
      </c>
      <c r="AO30">
        <v>454.58</v>
      </c>
      <c r="AP30">
        <v>0</v>
      </c>
      <c r="AQ30">
        <v>38.2</v>
      </c>
      <c r="AR30">
        <v>0</v>
      </c>
      <c r="AS30">
        <v>0</v>
      </c>
      <c r="AT30">
        <v>89</v>
      </c>
      <c r="AU30">
        <v>44</v>
      </c>
      <c r="AV30">
        <v>1</v>
      </c>
      <c r="AW30">
        <v>1</v>
      </c>
      <c r="AZ30">
        <v>1</v>
      </c>
      <c r="BA30">
        <v>13.81</v>
      </c>
      <c r="BB30">
        <v>7.91</v>
      </c>
      <c r="BC30">
        <v>4.37</v>
      </c>
      <c r="BH30">
        <v>0</v>
      </c>
      <c r="BI30">
        <v>1</v>
      </c>
      <c r="BJ30" t="s">
        <v>36</v>
      </c>
      <c r="BM30">
        <v>91</v>
      </c>
      <c r="BN30">
        <v>0</v>
      </c>
      <c r="BO30" t="s">
        <v>34</v>
      </c>
      <c r="BP30">
        <v>1</v>
      </c>
      <c r="BQ30">
        <v>30</v>
      </c>
      <c r="BS30">
        <v>13.81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89</v>
      </c>
      <c r="CA30">
        <v>44</v>
      </c>
      <c r="CF30">
        <v>0</v>
      </c>
      <c r="CG30">
        <v>0</v>
      </c>
      <c r="CM30">
        <v>0</v>
      </c>
      <c r="CO30">
        <v>0</v>
      </c>
      <c r="CP30">
        <f t="shared" si="30"/>
        <v>4428.8099999999995</v>
      </c>
      <c r="CQ30">
        <f t="shared" si="31"/>
        <v>4.2826</v>
      </c>
      <c r="CR30">
        <f t="shared" si="32"/>
        <v>632.9977500000001</v>
      </c>
      <c r="CS30">
        <f t="shared" si="33"/>
        <v>261.18162500000005</v>
      </c>
      <c r="CT30">
        <f t="shared" si="34"/>
        <v>7219.412270000001</v>
      </c>
      <c r="CU30">
        <f t="shared" si="35"/>
        <v>0</v>
      </c>
      <c r="CV30">
        <f t="shared" si="36"/>
        <v>43.93</v>
      </c>
      <c r="CW30">
        <f t="shared" si="37"/>
        <v>0</v>
      </c>
      <c r="CX30">
        <f t="shared" si="38"/>
        <v>0</v>
      </c>
      <c r="CY30">
        <f t="shared" si="39"/>
        <v>3621.9262</v>
      </c>
      <c r="CZ30">
        <f t="shared" si="40"/>
        <v>1790.6152</v>
      </c>
      <c r="DE30" t="s">
        <v>31</v>
      </c>
      <c r="DF30" t="s">
        <v>31</v>
      </c>
      <c r="DG30" t="s">
        <v>32</v>
      </c>
      <c r="DI30" t="s">
        <v>32</v>
      </c>
      <c r="DJ30" t="s">
        <v>31</v>
      </c>
      <c r="DN30">
        <v>104</v>
      </c>
      <c r="DO30">
        <v>70</v>
      </c>
      <c r="DP30">
        <v>1.047</v>
      </c>
      <c r="DQ30">
        <v>1</v>
      </c>
      <c r="DU30">
        <v>1005</v>
      </c>
      <c r="DV30" t="s">
        <v>29</v>
      </c>
      <c r="DW30" t="s">
        <v>29</v>
      </c>
      <c r="DX30">
        <v>100</v>
      </c>
      <c r="EE30">
        <v>16349954</v>
      </c>
      <c r="EF30">
        <v>30</v>
      </c>
      <c r="EG30" t="s">
        <v>37</v>
      </c>
      <c r="EH30">
        <v>0</v>
      </c>
      <c r="EJ30">
        <v>1</v>
      </c>
      <c r="EK30">
        <v>91</v>
      </c>
      <c r="EL30" t="s">
        <v>38</v>
      </c>
      <c r="EM30" t="s">
        <v>39</v>
      </c>
      <c r="EQ30">
        <v>0</v>
      </c>
      <c r="ER30">
        <v>519.58</v>
      </c>
      <c r="ES30">
        <v>0.98</v>
      </c>
      <c r="ET30">
        <v>64.02</v>
      </c>
      <c r="EU30">
        <v>15.13</v>
      </c>
      <c r="EV30">
        <v>454.58</v>
      </c>
      <c r="EW30">
        <v>38.2</v>
      </c>
      <c r="EX30">
        <v>0</v>
      </c>
      <c r="EY30">
        <v>0</v>
      </c>
      <c r="EZ30">
        <v>0</v>
      </c>
      <c r="FQ30">
        <v>0</v>
      </c>
      <c r="FR30">
        <f t="shared" si="41"/>
        <v>0</v>
      </c>
      <c r="FS30">
        <v>0</v>
      </c>
      <c r="FX30">
        <v>89</v>
      </c>
      <c r="FY30">
        <v>44</v>
      </c>
      <c r="GG30">
        <v>2</v>
      </c>
      <c r="GH30">
        <v>1</v>
      </c>
      <c r="GI30">
        <v>2</v>
      </c>
      <c r="GJ30">
        <v>0</v>
      </c>
      <c r="GK30">
        <f>ROUND(R30*(R12)/100,2)</f>
        <v>248.82</v>
      </c>
      <c r="GL30">
        <f t="shared" si="42"/>
        <v>0</v>
      </c>
      <c r="GM30">
        <f t="shared" si="43"/>
        <v>10090.18</v>
      </c>
      <c r="GN30">
        <f t="shared" si="44"/>
        <v>10090.18</v>
      </c>
      <c r="GO30">
        <f t="shared" si="45"/>
        <v>0</v>
      </c>
      <c r="GP30">
        <f t="shared" si="46"/>
        <v>0</v>
      </c>
      <c r="GR30">
        <v>0</v>
      </c>
    </row>
    <row r="31" spans="1:200" ht="12.75">
      <c r="A31">
        <v>18</v>
      </c>
      <c r="B31">
        <v>1</v>
      </c>
      <c r="C31">
        <v>8</v>
      </c>
      <c r="E31" t="s">
        <v>40</v>
      </c>
      <c r="F31" t="s">
        <v>41</v>
      </c>
      <c r="G31" t="s">
        <v>42</v>
      </c>
      <c r="H31" t="s">
        <v>43</v>
      </c>
      <c r="I31">
        <f>I30*J31</f>
        <v>60.3159</v>
      </c>
      <c r="J31">
        <v>107</v>
      </c>
      <c r="O31">
        <f t="shared" si="15"/>
        <v>22213.43</v>
      </c>
      <c r="P31">
        <f t="shared" si="16"/>
        <v>22213.43</v>
      </c>
      <c r="Q31">
        <f t="shared" si="17"/>
        <v>0</v>
      </c>
      <c r="R31">
        <f t="shared" si="18"/>
        <v>0</v>
      </c>
      <c r="S31">
        <f t="shared" si="19"/>
        <v>0</v>
      </c>
      <c r="T31">
        <f t="shared" si="20"/>
        <v>0</v>
      </c>
      <c r="U31">
        <f t="shared" si="21"/>
        <v>0</v>
      </c>
      <c r="V31">
        <f t="shared" si="22"/>
        <v>0</v>
      </c>
      <c r="W31">
        <f t="shared" si="23"/>
        <v>0</v>
      </c>
      <c r="X31">
        <f t="shared" si="24"/>
        <v>0</v>
      </c>
      <c r="Y31">
        <f t="shared" si="25"/>
        <v>0</v>
      </c>
      <c r="AA31">
        <v>16903935</v>
      </c>
      <c r="AB31">
        <f t="shared" si="26"/>
        <v>162.24</v>
      </c>
      <c r="AC31">
        <f t="shared" si="27"/>
        <v>162.24</v>
      </c>
      <c r="AD31">
        <f>ROUND((((ET31)-(EU31))+AE31),6)</f>
        <v>0</v>
      </c>
      <c r="AE31">
        <f>ROUND((EU31),6)</f>
        <v>0</v>
      </c>
      <c r="AF31">
        <f>ROUND((EV31),6)</f>
        <v>0</v>
      </c>
      <c r="AG31">
        <f t="shared" si="28"/>
        <v>0</v>
      </c>
      <c r="AH31">
        <f>(EW31)</f>
        <v>0</v>
      </c>
      <c r="AI31">
        <f>(EX31)</f>
        <v>0</v>
      </c>
      <c r="AJ31">
        <f t="shared" si="29"/>
        <v>0</v>
      </c>
      <c r="AK31">
        <v>162.24</v>
      </c>
      <c r="AL31">
        <v>162.24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2.27</v>
      </c>
      <c r="BH31">
        <v>3</v>
      </c>
      <c r="BI31">
        <v>1</v>
      </c>
      <c r="BJ31" t="s">
        <v>44</v>
      </c>
      <c r="BM31">
        <v>91</v>
      </c>
      <c r="BN31">
        <v>0</v>
      </c>
      <c r="BO31" t="s">
        <v>41</v>
      </c>
      <c r="BP31">
        <v>1</v>
      </c>
      <c r="BQ31">
        <v>30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30"/>
        <v>22213.43</v>
      </c>
      <c r="CQ31">
        <f t="shared" si="31"/>
        <v>368.2848</v>
      </c>
      <c r="CR31">
        <f t="shared" si="32"/>
        <v>0</v>
      </c>
      <c r="CS31">
        <f t="shared" si="33"/>
        <v>0</v>
      </c>
      <c r="CT31">
        <f t="shared" si="34"/>
        <v>0</v>
      </c>
      <c r="CU31">
        <f t="shared" si="35"/>
        <v>0</v>
      </c>
      <c r="CV31">
        <f t="shared" si="36"/>
        <v>0</v>
      </c>
      <c r="CW31">
        <f t="shared" si="37"/>
        <v>0</v>
      </c>
      <c r="CX31">
        <f t="shared" si="38"/>
        <v>0</v>
      </c>
      <c r="CY31">
        <f t="shared" si="39"/>
        <v>0</v>
      </c>
      <c r="CZ31">
        <f t="shared" si="40"/>
        <v>0</v>
      </c>
      <c r="DN31">
        <v>104</v>
      </c>
      <c r="DO31">
        <v>70</v>
      </c>
      <c r="DP31">
        <v>1.047</v>
      </c>
      <c r="DQ31">
        <v>1</v>
      </c>
      <c r="DU31">
        <v>1005</v>
      </c>
      <c r="DV31" t="s">
        <v>43</v>
      </c>
      <c r="DW31" t="s">
        <v>43</v>
      </c>
      <c r="DX31">
        <v>1</v>
      </c>
      <c r="EE31">
        <v>16349954</v>
      </c>
      <c r="EF31">
        <v>30</v>
      </c>
      <c r="EG31" t="s">
        <v>37</v>
      </c>
      <c r="EH31">
        <v>0</v>
      </c>
      <c r="EJ31">
        <v>1</v>
      </c>
      <c r="EK31">
        <v>91</v>
      </c>
      <c r="EL31" t="s">
        <v>38</v>
      </c>
      <c r="EM31" t="s">
        <v>39</v>
      </c>
      <c r="EQ31">
        <v>0</v>
      </c>
      <c r="ER31">
        <v>162.24</v>
      </c>
      <c r="ES31">
        <v>162.24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41"/>
        <v>0</v>
      </c>
      <c r="FS31">
        <v>0</v>
      </c>
      <c r="FX31">
        <v>0</v>
      </c>
      <c r="FY31">
        <v>0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42"/>
        <v>0</v>
      </c>
      <c r="GM31">
        <f t="shared" si="43"/>
        <v>22213.43</v>
      </c>
      <c r="GN31">
        <f t="shared" si="44"/>
        <v>22213.43</v>
      </c>
      <c r="GO31">
        <f t="shared" si="45"/>
        <v>0</v>
      </c>
      <c r="GP31">
        <f t="shared" si="46"/>
        <v>0</v>
      </c>
      <c r="GR31">
        <v>0</v>
      </c>
    </row>
    <row r="32" spans="1:200" ht="12.75">
      <c r="A32">
        <v>18</v>
      </c>
      <c r="B32">
        <v>1</v>
      </c>
      <c r="C32">
        <v>9</v>
      </c>
      <c r="E32" t="s">
        <v>45</v>
      </c>
      <c r="F32" t="s">
        <v>46</v>
      </c>
      <c r="G32" t="s">
        <v>47</v>
      </c>
      <c r="H32" t="s">
        <v>48</v>
      </c>
      <c r="I32">
        <f>I30*J32</f>
        <v>0.028185</v>
      </c>
      <c r="J32">
        <v>0.05</v>
      </c>
      <c r="O32">
        <f t="shared" si="15"/>
        <v>1196.74</v>
      </c>
      <c r="P32">
        <f t="shared" si="16"/>
        <v>1196.74</v>
      </c>
      <c r="Q32">
        <f t="shared" si="17"/>
        <v>0</v>
      </c>
      <c r="R32">
        <f t="shared" si="18"/>
        <v>0</v>
      </c>
      <c r="S32">
        <f t="shared" si="19"/>
        <v>0</v>
      </c>
      <c r="T32">
        <f t="shared" si="20"/>
        <v>0</v>
      </c>
      <c r="U32">
        <f t="shared" si="21"/>
        <v>0</v>
      </c>
      <c r="V32">
        <f t="shared" si="22"/>
        <v>0</v>
      </c>
      <c r="W32">
        <f t="shared" si="23"/>
        <v>0</v>
      </c>
      <c r="X32">
        <f t="shared" si="24"/>
        <v>0</v>
      </c>
      <c r="Y32">
        <f t="shared" si="25"/>
        <v>0</v>
      </c>
      <c r="AA32">
        <v>16903935</v>
      </c>
      <c r="AB32">
        <f t="shared" si="26"/>
        <v>43326.77</v>
      </c>
      <c r="AC32">
        <f t="shared" si="27"/>
        <v>43326.77</v>
      </c>
      <c r="AD32">
        <f>ROUND((((ET32)-(EU32))+AE32),6)</f>
        <v>0</v>
      </c>
      <c r="AE32">
        <f>ROUND((EU32),6)</f>
        <v>0</v>
      </c>
      <c r="AF32">
        <f>ROUND((EV32),6)</f>
        <v>0</v>
      </c>
      <c r="AG32">
        <f t="shared" si="28"/>
        <v>0</v>
      </c>
      <c r="AH32">
        <f>(EW32)</f>
        <v>0</v>
      </c>
      <c r="AI32">
        <f>(EX32)</f>
        <v>0</v>
      </c>
      <c r="AJ32">
        <f t="shared" si="29"/>
        <v>0</v>
      </c>
      <c r="AK32">
        <v>43326.77</v>
      </c>
      <c r="AL32">
        <v>43326.77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0.98</v>
      </c>
      <c r="BH32">
        <v>3</v>
      </c>
      <c r="BI32">
        <v>1</v>
      </c>
      <c r="BJ32" t="s">
        <v>49</v>
      </c>
      <c r="BM32">
        <v>91</v>
      </c>
      <c r="BN32">
        <v>0</v>
      </c>
      <c r="BO32" t="s">
        <v>46</v>
      </c>
      <c r="BP32">
        <v>1</v>
      </c>
      <c r="BQ32">
        <v>30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30"/>
        <v>1196.74</v>
      </c>
      <c r="CQ32">
        <f t="shared" si="31"/>
        <v>42460.234599999996</v>
      </c>
      <c r="CR32">
        <f t="shared" si="32"/>
        <v>0</v>
      </c>
      <c r="CS32">
        <f t="shared" si="33"/>
        <v>0</v>
      </c>
      <c r="CT32">
        <f t="shared" si="34"/>
        <v>0</v>
      </c>
      <c r="CU32">
        <f t="shared" si="35"/>
        <v>0</v>
      </c>
      <c r="CV32">
        <f t="shared" si="36"/>
        <v>0</v>
      </c>
      <c r="CW32">
        <f t="shared" si="37"/>
        <v>0</v>
      </c>
      <c r="CX32">
        <f t="shared" si="38"/>
        <v>0</v>
      </c>
      <c r="CY32">
        <f t="shared" si="39"/>
        <v>0</v>
      </c>
      <c r="CZ32">
        <f t="shared" si="40"/>
        <v>0</v>
      </c>
      <c r="DN32">
        <v>104</v>
      </c>
      <c r="DO32">
        <v>70</v>
      </c>
      <c r="DP32">
        <v>1.047</v>
      </c>
      <c r="DQ32">
        <v>1</v>
      </c>
      <c r="DU32">
        <v>1009</v>
      </c>
      <c r="DV32" t="s">
        <v>48</v>
      </c>
      <c r="DW32" t="s">
        <v>48</v>
      </c>
      <c r="DX32">
        <v>1000</v>
      </c>
      <c r="EE32">
        <v>16349954</v>
      </c>
      <c r="EF32">
        <v>30</v>
      </c>
      <c r="EG32" t="s">
        <v>37</v>
      </c>
      <c r="EH32">
        <v>0</v>
      </c>
      <c r="EJ32">
        <v>1</v>
      </c>
      <c r="EK32">
        <v>91</v>
      </c>
      <c r="EL32" t="s">
        <v>38</v>
      </c>
      <c r="EM32" t="s">
        <v>39</v>
      </c>
      <c r="EQ32">
        <v>0</v>
      </c>
      <c r="ER32">
        <v>43326.77</v>
      </c>
      <c r="ES32">
        <v>43326.77</v>
      </c>
      <c r="ET32">
        <v>0</v>
      </c>
      <c r="EU32">
        <v>0</v>
      </c>
      <c r="EV32">
        <v>0</v>
      </c>
      <c r="EW32">
        <v>0</v>
      </c>
      <c r="EX32">
        <v>0</v>
      </c>
      <c r="EZ32">
        <v>0</v>
      </c>
      <c r="FQ32">
        <v>0</v>
      </c>
      <c r="FR32">
        <f t="shared" si="41"/>
        <v>0</v>
      </c>
      <c r="FS32">
        <v>0</v>
      </c>
      <c r="FX32">
        <v>0</v>
      </c>
      <c r="FY32">
        <v>0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2"/>
        <v>0</v>
      </c>
      <c r="GM32">
        <f t="shared" si="43"/>
        <v>1196.74</v>
      </c>
      <c r="GN32">
        <f t="shared" si="44"/>
        <v>1196.74</v>
      </c>
      <c r="GO32">
        <f t="shared" si="45"/>
        <v>0</v>
      </c>
      <c r="GP32">
        <f t="shared" si="46"/>
        <v>0</v>
      </c>
      <c r="GR32">
        <v>0</v>
      </c>
    </row>
    <row r="33" spans="1:200" ht="12.75">
      <c r="A33">
        <v>17</v>
      </c>
      <c r="B33">
        <v>1</v>
      </c>
      <c r="C33">
        <f>ROW(SmtRes!A16)</f>
        <v>16</v>
      </c>
      <c r="D33">
        <f>ROW(EtalonRes!A16)</f>
        <v>16</v>
      </c>
      <c r="E33" t="s">
        <v>50</v>
      </c>
      <c r="F33" t="s">
        <v>51</v>
      </c>
      <c r="G33" t="s">
        <v>52</v>
      </c>
      <c r="H33" t="s">
        <v>21</v>
      </c>
      <c r="I33">
        <v>0.5634</v>
      </c>
      <c r="J33">
        <v>0</v>
      </c>
      <c r="O33">
        <f t="shared" si="15"/>
        <v>1405.06</v>
      </c>
      <c r="P33">
        <f t="shared" si="16"/>
        <v>101.19</v>
      </c>
      <c r="Q33">
        <f t="shared" si="17"/>
        <v>58.99</v>
      </c>
      <c r="R33">
        <f t="shared" si="18"/>
        <v>7</v>
      </c>
      <c r="S33">
        <f t="shared" si="19"/>
        <v>1244.88</v>
      </c>
      <c r="T33">
        <f t="shared" si="20"/>
        <v>0</v>
      </c>
      <c r="U33">
        <f t="shared" si="21"/>
        <v>8.196061499999999</v>
      </c>
      <c r="V33">
        <f t="shared" si="22"/>
        <v>0</v>
      </c>
      <c r="W33">
        <f t="shared" si="23"/>
        <v>0</v>
      </c>
      <c r="X33">
        <f t="shared" si="24"/>
        <v>1107.94</v>
      </c>
      <c r="Y33">
        <f t="shared" si="25"/>
        <v>547.75</v>
      </c>
      <c r="AA33">
        <v>16903935</v>
      </c>
      <c r="AB33">
        <f t="shared" si="26"/>
        <v>347.617</v>
      </c>
      <c r="AC33">
        <f t="shared" si="27"/>
        <v>174.38</v>
      </c>
      <c r="AD33">
        <f>ROUND(((((ET33*1.25))-((EU33*1.25)))+AE33),6)</f>
        <v>13.2375</v>
      </c>
      <c r="AE33">
        <f>ROUND(((EU33*1.25)),6)</f>
        <v>0.9</v>
      </c>
      <c r="AF33">
        <f>ROUND(((EV33*1.15)),6)</f>
        <v>159.9995</v>
      </c>
      <c r="AG33">
        <f t="shared" si="28"/>
        <v>0</v>
      </c>
      <c r="AH33">
        <f>((EW33*1.15))</f>
        <v>14.5475</v>
      </c>
      <c r="AI33">
        <f>((EX33*1.25))</f>
        <v>0</v>
      </c>
      <c r="AJ33">
        <f t="shared" si="29"/>
        <v>0</v>
      </c>
      <c r="AK33">
        <v>324.1</v>
      </c>
      <c r="AL33">
        <v>174.38</v>
      </c>
      <c r="AM33">
        <v>10.59</v>
      </c>
      <c r="AN33">
        <v>0.72</v>
      </c>
      <c r="AO33">
        <v>139.13</v>
      </c>
      <c r="AP33">
        <v>0</v>
      </c>
      <c r="AQ33">
        <v>12.65</v>
      </c>
      <c r="AR33">
        <v>0</v>
      </c>
      <c r="AS33">
        <v>0</v>
      </c>
      <c r="AT33">
        <v>89</v>
      </c>
      <c r="AU33">
        <v>44</v>
      </c>
      <c r="AV33">
        <v>1</v>
      </c>
      <c r="AW33">
        <v>1</v>
      </c>
      <c r="AZ33">
        <v>1</v>
      </c>
      <c r="BA33">
        <v>13.81</v>
      </c>
      <c r="BB33">
        <v>7.91</v>
      </c>
      <c r="BC33">
        <v>1.03</v>
      </c>
      <c r="BH33">
        <v>0</v>
      </c>
      <c r="BI33">
        <v>1</v>
      </c>
      <c r="BJ33" t="s">
        <v>53</v>
      </c>
      <c r="BM33">
        <v>91</v>
      </c>
      <c r="BN33">
        <v>0</v>
      </c>
      <c r="BO33" t="s">
        <v>51</v>
      </c>
      <c r="BP33">
        <v>1</v>
      </c>
      <c r="BQ33">
        <v>30</v>
      </c>
      <c r="BS33">
        <v>13.81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89</v>
      </c>
      <c r="CA33">
        <v>44</v>
      </c>
      <c r="CF33">
        <v>0</v>
      </c>
      <c r="CG33">
        <v>0</v>
      </c>
      <c r="CM33">
        <v>0</v>
      </c>
      <c r="CO33">
        <v>0</v>
      </c>
      <c r="CP33">
        <f t="shared" si="30"/>
        <v>1405.0600000000002</v>
      </c>
      <c r="CQ33">
        <f t="shared" si="31"/>
        <v>179.6114</v>
      </c>
      <c r="CR33">
        <f t="shared" si="32"/>
        <v>104.70862500000001</v>
      </c>
      <c r="CS33">
        <f t="shared" si="33"/>
        <v>12.429</v>
      </c>
      <c r="CT33">
        <f t="shared" si="34"/>
        <v>2209.593095</v>
      </c>
      <c r="CU33">
        <f t="shared" si="35"/>
        <v>0</v>
      </c>
      <c r="CV33">
        <f t="shared" si="36"/>
        <v>14.5475</v>
      </c>
      <c r="CW33">
        <f t="shared" si="37"/>
        <v>0</v>
      </c>
      <c r="CX33">
        <f t="shared" si="38"/>
        <v>0</v>
      </c>
      <c r="CY33">
        <f t="shared" si="39"/>
        <v>1107.9432000000002</v>
      </c>
      <c r="CZ33">
        <f t="shared" si="40"/>
        <v>547.7472</v>
      </c>
      <c r="DE33" t="s">
        <v>31</v>
      </c>
      <c r="DF33" t="s">
        <v>31</v>
      </c>
      <c r="DG33" t="s">
        <v>32</v>
      </c>
      <c r="DI33" t="s">
        <v>32</v>
      </c>
      <c r="DJ33" t="s">
        <v>31</v>
      </c>
      <c r="DN33">
        <v>104</v>
      </c>
      <c r="DO33">
        <v>70</v>
      </c>
      <c r="DP33">
        <v>1.047</v>
      </c>
      <c r="DQ33">
        <v>1</v>
      </c>
      <c r="DU33">
        <v>1003</v>
      </c>
      <c r="DV33" t="s">
        <v>21</v>
      </c>
      <c r="DW33" t="s">
        <v>21</v>
      </c>
      <c r="DX33">
        <v>100</v>
      </c>
      <c r="EE33">
        <v>16349954</v>
      </c>
      <c r="EF33">
        <v>30</v>
      </c>
      <c r="EG33" t="s">
        <v>37</v>
      </c>
      <c r="EH33">
        <v>0</v>
      </c>
      <c r="EJ33">
        <v>1</v>
      </c>
      <c r="EK33">
        <v>91</v>
      </c>
      <c r="EL33" t="s">
        <v>38</v>
      </c>
      <c r="EM33" t="s">
        <v>39</v>
      </c>
      <c r="EQ33">
        <v>0</v>
      </c>
      <c r="ER33">
        <v>324.1</v>
      </c>
      <c r="ES33">
        <v>174.38</v>
      </c>
      <c r="ET33">
        <v>10.59</v>
      </c>
      <c r="EU33">
        <v>0.72</v>
      </c>
      <c r="EV33">
        <v>139.13</v>
      </c>
      <c r="EW33">
        <v>12.65</v>
      </c>
      <c r="EX33">
        <v>0</v>
      </c>
      <c r="EY33">
        <v>0</v>
      </c>
      <c r="EZ33">
        <v>0</v>
      </c>
      <c r="FQ33">
        <v>0</v>
      </c>
      <c r="FR33">
        <f t="shared" si="41"/>
        <v>0</v>
      </c>
      <c r="FS33">
        <v>0</v>
      </c>
      <c r="FX33">
        <v>89</v>
      </c>
      <c r="FY33">
        <v>44</v>
      </c>
      <c r="GG33">
        <v>2</v>
      </c>
      <c r="GH33">
        <v>1</v>
      </c>
      <c r="GI33">
        <v>2</v>
      </c>
      <c r="GJ33">
        <v>0</v>
      </c>
      <c r="GK33">
        <f>ROUND(R33*(R12)/100,2)</f>
        <v>11.83</v>
      </c>
      <c r="GL33">
        <f t="shared" si="42"/>
        <v>0</v>
      </c>
      <c r="GM33">
        <f t="shared" si="43"/>
        <v>3072.58</v>
      </c>
      <c r="GN33">
        <f t="shared" si="44"/>
        <v>3072.58</v>
      </c>
      <c r="GO33">
        <f t="shared" si="45"/>
        <v>0</v>
      </c>
      <c r="GP33">
        <f t="shared" si="46"/>
        <v>0</v>
      </c>
      <c r="GR33">
        <v>0</v>
      </c>
    </row>
    <row r="34" spans="1:200" ht="12.75">
      <c r="A34">
        <v>18</v>
      </c>
      <c r="B34">
        <v>1</v>
      </c>
      <c r="C34">
        <v>16</v>
      </c>
      <c r="E34" t="s">
        <v>54</v>
      </c>
      <c r="F34" t="s">
        <v>55</v>
      </c>
      <c r="G34" t="s">
        <v>56</v>
      </c>
      <c r="H34" t="s">
        <v>57</v>
      </c>
      <c r="I34">
        <f>I33*J34</f>
        <v>59.157000000000004</v>
      </c>
      <c r="J34">
        <v>105</v>
      </c>
      <c r="O34">
        <f t="shared" si="15"/>
        <v>2060</v>
      </c>
      <c r="P34">
        <f t="shared" si="16"/>
        <v>2060</v>
      </c>
      <c r="Q34">
        <f t="shared" si="17"/>
        <v>0</v>
      </c>
      <c r="R34">
        <f t="shared" si="18"/>
        <v>0</v>
      </c>
      <c r="S34">
        <f t="shared" si="19"/>
        <v>0</v>
      </c>
      <c r="T34">
        <f t="shared" si="20"/>
        <v>0</v>
      </c>
      <c r="U34">
        <f t="shared" si="21"/>
        <v>0</v>
      </c>
      <c r="V34">
        <f t="shared" si="22"/>
        <v>0</v>
      </c>
      <c r="W34">
        <f t="shared" si="23"/>
        <v>0</v>
      </c>
      <c r="X34">
        <f t="shared" si="24"/>
        <v>0</v>
      </c>
      <c r="Y34">
        <f t="shared" si="25"/>
        <v>0</v>
      </c>
      <c r="AA34">
        <v>16903935</v>
      </c>
      <c r="AB34">
        <f t="shared" si="26"/>
        <v>22.18</v>
      </c>
      <c r="AC34">
        <f t="shared" si="27"/>
        <v>22.18</v>
      </c>
      <c r="AD34">
        <f>ROUND((((ET34)-(EU34))+AE34),6)</f>
        <v>0</v>
      </c>
      <c r="AE34">
        <f>ROUND((EU34),6)</f>
        <v>0</v>
      </c>
      <c r="AF34">
        <f>ROUND((EV34),6)</f>
        <v>0</v>
      </c>
      <c r="AG34">
        <f t="shared" si="28"/>
        <v>0</v>
      </c>
      <c r="AH34">
        <f>(EW34)</f>
        <v>0</v>
      </c>
      <c r="AI34">
        <f>(EX34)</f>
        <v>0</v>
      </c>
      <c r="AJ34">
        <f t="shared" si="29"/>
        <v>0</v>
      </c>
      <c r="AK34">
        <v>22.18</v>
      </c>
      <c r="AL34">
        <v>22.18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1.57</v>
      </c>
      <c r="BH34">
        <v>3</v>
      </c>
      <c r="BI34">
        <v>1</v>
      </c>
      <c r="BJ34" t="s">
        <v>58</v>
      </c>
      <c r="BM34">
        <v>91</v>
      </c>
      <c r="BN34">
        <v>0</v>
      </c>
      <c r="BO34" t="s">
        <v>55</v>
      </c>
      <c r="BP34">
        <v>1</v>
      </c>
      <c r="BQ34">
        <v>30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30"/>
        <v>2060</v>
      </c>
      <c r="CQ34">
        <f t="shared" si="31"/>
        <v>34.8226</v>
      </c>
      <c r="CR34">
        <f t="shared" si="32"/>
        <v>0</v>
      </c>
      <c r="CS34">
        <f t="shared" si="33"/>
        <v>0</v>
      </c>
      <c r="CT34">
        <f t="shared" si="34"/>
        <v>0</v>
      </c>
      <c r="CU34">
        <f t="shared" si="35"/>
        <v>0</v>
      </c>
      <c r="CV34">
        <f t="shared" si="36"/>
        <v>0</v>
      </c>
      <c r="CW34">
        <f t="shared" si="37"/>
        <v>0</v>
      </c>
      <c r="CX34">
        <f t="shared" si="38"/>
        <v>0</v>
      </c>
      <c r="CY34">
        <f t="shared" si="39"/>
        <v>0</v>
      </c>
      <c r="CZ34">
        <f t="shared" si="40"/>
        <v>0</v>
      </c>
      <c r="DN34">
        <v>104</v>
      </c>
      <c r="DO34">
        <v>70</v>
      </c>
      <c r="DP34">
        <v>1.047</v>
      </c>
      <c r="DQ34">
        <v>1</v>
      </c>
      <c r="DU34">
        <v>1003</v>
      </c>
      <c r="DV34" t="s">
        <v>57</v>
      </c>
      <c r="DW34" t="s">
        <v>57</v>
      </c>
      <c r="DX34">
        <v>1</v>
      </c>
      <c r="EE34">
        <v>16349954</v>
      </c>
      <c r="EF34">
        <v>30</v>
      </c>
      <c r="EG34" t="s">
        <v>37</v>
      </c>
      <c r="EH34">
        <v>0</v>
      </c>
      <c r="EJ34">
        <v>1</v>
      </c>
      <c r="EK34">
        <v>91</v>
      </c>
      <c r="EL34" t="s">
        <v>38</v>
      </c>
      <c r="EM34" t="s">
        <v>39</v>
      </c>
      <c r="EQ34">
        <v>0</v>
      </c>
      <c r="ER34">
        <v>22.18</v>
      </c>
      <c r="ES34">
        <v>22.18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</v>
      </c>
      <c r="FQ34">
        <v>0</v>
      </c>
      <c r="FR34">
        <f t="shared" si="41"/>
        <v>0</v>
      </c>
      <c r="FS34">
        <v>0</v>
      </c>
      <c r="FX34">
        <v>0</v>
      </c>
      <c r="FY34">
        <v>0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2"/>
        <v>0</v>
      </c>
      <c r="GM34">
        <f t="shared" si="43"/>
        <v>2060</v>
      </c>
      <c r="GN34">
        <f t="shared" si="44"/>
        <v>2060</v>
      </c>
      <c r="GO34">
        <f t="shared" si="45"/>
        <v>0</v>
      </c>
      <c r="GP34">
        <f t="shared" si="46"/>
        <v>0</v>
      </c>
      <c r="GR34">
        <v>0</v>
      </c>
    </row>
    <row r="35" spans="1:200" ht="12.75">
      <c r="A35">
        <v>17</v>
      </c>
      <c r="B35">
        <v>1</v>
      </c>
      <c r="C35">
        <f>ROW(SmtRes!A18)</f>
        <v>18</v>
      </c>
      <c r="D35">
        <f>ROW(EtalonRes!A18)</f>
        <v>18</v>
      </c>
      <c r="E35" t="s">
        <v>59</v>
      </c>
      <c r="F35" t="s">
        <v>60</v>
      </c>
      <c r="G35" t="s">
        <v>61</v>
      </c>
      <c r="H35" t="s">
        <v>29</v>
      </c>
      <c r="I35">
        <v>0.3514</v>
      </c>
      <c r="J35">
        <v>0</v>
      </c>
      <c r="O35">
        <f t="shared" si="15"/>
        <v>3227.05</v>
      </c>
      <c r="P35">
        <f t="shared" si="16"/>
        <v>0</v>
      </c>
      <c r="Q35">
        <f t="shared" si="17"/>
        <v>7.92</v>
      </c>
      <c r="R35">
        <f t="shared" si="18"/>
        <v>6.36</v>
      </c>
      <c r="S35">
        <f t="shared" si="19"/>
        <v>3219.13</v>
      </c>
      <c r="T35">
        <f t="shared" si="20"/>
        <v>0</v>
      </c>
      <c r="U35">
        <f t="shared" si="21"/>
        <v>20.59204</v>
      </c>
      <c r="V35">
        <f t="shared" si="22"/>
        <v>0</v>
      </c>
      <c r="W35">
        <f t="shared" si="23"/>
        <v>0</v>
      </c>
      <c r="X35">
        <f t="shared" si="24"/>
        <v>2317.77</v>
      </c>
      <c r="Y35">
        <f t="shared" si="25"/>
        <v>1416.42</v>
      </c>
      <c r="AA35">
        <v>16903935</v>
      </c>
      <c r="AB35">
        <f t="shared" si="26"/>
        <v>665.85</v>
      </c>
      <c r="AC35">
        <f t="shared" si="27"/>
        <v>0</v>
      </c>
      <c r="AD35">
        <f>ROUND((((ET35)-(EU35))+AE35),6)</f>
        <v>2.5</v>
      </c>
      <c r="AE35">
        <f>ROUND((EU35),6)</f>
        <v>1.31</v>
      </c>
      <c r="AF35">
        <f>ROUND((EV35),6)</f>
        <v>663.35</v>
      </c>
      <c r="AG35">
        <f t="shared" si="28"/>
        <v>0</v>
      </c>
      <c r="AH35">
        <f>(EW35)</f>
        <v>58.6</v>
      </c>
      <c r="AI35">
        <f>(EX35)</f>
        <v>0</v>
      </c>
      <c r="AJ35">
        <f t="shared" si="29"/>
        <v>0</v>
      </c>
      <c r="AK35">
        <v>665.85</v>
      </c>
      <c r="AL35">
        <v>0</v>
      </c>
      <c r="AM35">
        <v>2.5</v>
      </c>
      <c r="AN35">
        <v>1.31</v>
      </c>
      <c r="AO35">
        <v>663.35</v>
      </c>
      <c r="AP35">
        <v>0</v>
      </c>
      <c r="AQ35">
        <v>58.6</v>
      </c>
      <c r="AR35">
        <v>0</v>
      </c>
      <c r="AS35">
        <v>0</v>
      </c>
      <c r="AT35">
        <v>72</v>
      </c>
      <c r="AU35">
        <v>44</v>
      </c>
      <c r="AV35">
        <v>1</v>
      </c>
      <c r="AW35">
        <v>1</v>
      </c>
      <c r="AZ35">
        <v>1</v>
      </c>
      <c r="BA35">
        <v>13.81</v>
      </c>
      <c r="BB35">
        <v>9.01</v>
      </c>
      <c r="BC35">
        <v>1</v>
      </c>
      <c r="BH35">
        <v>0</v>
      </c>
      <c r="BI35">
        <v>1</v>
      </c>
      <c r="BJ35" t="s">
        <v>62</v>
      </c>
      <c r="BM35">
        <v>419</v>
      </c>
      <c r="BN35">
        <v>0</v>
      </c>
      <c r="BO35" t="s">
        <v>60</v>
      </c>
      <c r="BP35">
        <v>1</v>
      </c>
      <c r="BQ35">
        <v>60</v>
      </c>
      <c r="BS35">
        <v>13.81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72</v>
      </c>
      <c r="CA35">
        <v>44</v>
      </c>
      <c r="CF35">
        <v>0</v>
      </c>
      <c r="CG35">
        <v>0</v>
      </c>
      <c r="CM35">
        <v>0</v>
      </c>
      <c r="CO35">
        <v>0</v>
      </c>
      <c r="CP35">
        <f t="shared" si="30"/>
        <v>3227.05</v>
      </c>
      <c r="CQ35">
        <f t="shared" si="31"/>
        <v>0</v>
      </c>
      <c r="CR35">
        <f t="shared" si="32"/>
        <v>22.525</v>
      </c>
      <c r="CS35">
        <f t="shared" si="33"/>
        <v>18.0911</v>
      </c>
      <c r="CT35">
        <f t="shared" si="34"/>
        <v>9160.863500000001</v>
      </c>
      <c r="CU35">
        <f t="shared" si="35"/>
        <v>0</v>
      </c>
      <c r="CV35">
        <f t="shared" si="36"/>
        <v>58.6</v>
      </c>
      <c r="CW35">
        <f t="shared" si="37"/>
        <v>0</v>
      </c>
      <c r="CX35">
        <f t="shared" si="38"/>
        <v>0</v>
      </c>
      <c r="CY35">
        <f t="shared" si="39"/>
        <v>2317.7736</v>
      </c>
      <c r="CZ35">
        <f t="shared" si="40"/>
        <v>1416.4172</v>
      </c>
      <c r="DN35">
        <v>80</v>
      </c>
      <c r="DO35">
        <v>55</v>
      </c>
      <c r="DP35">
        <v>1.047</v>
      </c>
      <c r="DQ35">
        <v>1</v>
      </c>
      <c r="DU35">
        <v>1005</v>
      </c>
      <c r="DV35" t="s">
        <v>29</v>
      </c>
      <c r="DW35" t="s">
        <v>29</v>
      </c>
      <c r="DX35">
        <v>100</v>
      </c>
      <c r="EE35">
        <v>16350282</v>
      </c>
      <c r="EF35">
        <v>60</v>
      </c>
      <c r="EG35" t="s">
        <v>23</v>
      </c>
      <c r="EH35">
        <v>0</v>
      </c>
      <c r="EJ35">
        <v>1</v>
      </c>
      <c r="EK35">
        <v>419</v>
      </c>
      <c r="EL35" t="s">
        <v>63</v>
      </c>
      <c r="EM35" t="s">
        <v>64</v>
      </c>
      <c r="EQ35">
        <v>0</v>
      </c>
      <c r="ER35">
        <v>665.85</v>
      </c>
      <c r="ES35">
        <v>0</v>
      </c>
      <c r="ET35">
        <v>2.5</v>
      </c>
      <c r="EU35">
        <v>1.31</v>
      </c>
      <c r="EV35">
        <v>663.35</v>
      </c>
      <c r="EW35">
        <v>58.6</v>
      </c>
      <c r="EX35">
        <v>0</v>
      </c>
      <c r="EY35">
        <v>0</v>
      </c>
      <c r="EZ35">
        <v>0</v>
      </c>
      <c r="FQ35">
        <v>0</v>
      </c>
      <c r="FR35">
        <f t="shared" si="41"/>
        <v>0</v>
      </c>
      <c r="FS35">
        <v>0</v>
      </c>
      <c r="FX35">
        <v>72</v>
      </c>
      <c r="FY35">
        <v>44</v>
      </c>
      <c r="GG35">
        <v>2</v>
      </c>
      <c r="GH35">
        <v>1</v>
      </c>
      <c r="GI35">
        <v>2</v>
      </c>
      <c r="GJ35">
        <v>0</v>
      </c>
      <c r="GK35">
        <f>ROUND(R35*(R12)/100,2)</f>
        <v>10.75</v>
      </c>
      <c r="GL35">
        <f t="shared" si="42"/>
        <v>0</v>
      </c>
      <c r="GM35">
        <f t="shared" si="43"/>
        <v>6971.99</v>
      </c>
      <c r="GN35">
        <f t="shared" si="44"/>
        <v>6971.99</v>
      </c>
      <c r="GO35">
        <f t="shared" si="45"/>
        <v>0</v>
      </c>
      <c r="GP35">
        <f t="shared" si="46"/>
        <v>0</v>
      </c>
      <c r="GR35">
        <v>0</v>
      </c>
    </row>
    <row r="36" spans="1:200" ht="12.75">
      <c r="A36">
        <v>17</v>
      </c>
      <c r="B36">
        <v>1</v>
      </c>
      <c r="C36">
        <f>ROW(SmtRes!A31)</f>
        <v>31</v>
      </c>
      <c r="D36">
        <f>ROW(EtalonRes!A31)</f>
        <v>31</v>
      </c>
      <c r="E36" t="s">
        <v>65</v>
      </c>
      <c r="F36" t="s">
        <v>66</v>
      </c>
      <c r="G36" t="s">
        <v>67</v>
      </c>
      <c r="H36" t="s">
        <v>29</v>
      </c>
      <c r="I36">
        <v>0.061</v>
      </c>
      <c r="J36">
        <v>0</v>
      </c>
      <c r="O36">
        <f t="shared" si="15"/>
        <v>4899.8</v>
      </c>
      <c r="P36">
        <f t="shared" si="16"/>
        <v>384.24</v>
      </c>
      <c r="Q36">
        <f t="shared" si="17"/>
        <v>42.55</v>
      </c>
      <c r="R36">
        <f t="shared" si="18"/>
        <v>4.23</v>
      </c>
      <c r="S36">
        <f t="shared" si="19"/>
        <v>4473.01</v>
      </c>
      <c r="T36">
        <f t="shared" si="20"/>
        <v>0</v>
      </c>
      <c r="U36">
        <f t="shared" si="21"/>
        <v>27.2182</v>
      </c>
      <c r="V36">
        <f t="shared" si="22"/>
        <v>0</v>
      </c>
      <c r="W36">
        <f t="shared" si="23"/>
        <v>0</v>
      </c>
      <c r="X36">
        <f t="shared" si="24"/>
        <v>3444.22</v>
      </c>
      <c r="Y36">
        <f t="shared" si="25"/>
        <v>1968.12</v>
      </c>
      <c r="AA36">
        <v>16903935</v>
      </c>
      <c r="AB36">
        <f t="shared" si="26"/>
        <v>8016.25</v>
      </c>
      <c r="AC36">
        <f t="shared" si="27"/>
        <v>2613.72</v>
      </c>
      <c r="AD36">
        <f>ROUND(((((ET36*1.25))-((EU36*1.25)))+AE36),6)</f>
        <v>92.75</v>
      </c>
      <c r="AE36">
        <f>ROUND(((EU36*1.25)),6)</f>
        <v>5.025</v>
      </c>
      <c r="AF36">
        <f>ROUND(((EV36*1.15)),6)</f>
        <v>5309.78</v>
      </c>
      <c r="AG36">
        <f t="shared" si="28"/>
        <v>0</v>
      </c>
      <c r="AH36">
        <f>((EW36*1.15))</f>
        <v>446.2</v>
      </c>
      <c r="AI36">
        <f>((EX36*1.25))</f>
        <v>0</v>
      </c>
      <c r="AJ36">
        <f t="shared" si="29"/>
        <v>0</v>
      </c>
      <c r="AK36">
        <v>7305.12</v>
      </c>
      <c r="AL36">
        <v>2613.72</v>
      </c>
      <c r="AM36">
        <v>74.2</v>
      </c>
      <c r="AN36">
        <v>4.02</v>
      </c>
      <c r="AO36">
        <v>4617.2</v>
      </c>
      <c r="AP36">
        <v>0</v>
      </c>
      <c r="AQ36">
        <v>388</v>
      </c>
      <c r="AR36">
        <v>0</v>
      </c>
      <c r="AS36">
        <v>0</v>
      </c>
      <c r="AT36">
        <v>77</v>
      </c>
      <c r="AU36">
        <v>44</v>
      </c>
      <c r="AV36">
        <v>1</v>
      </c>
      <c r="AW36">
        <v>1</v>
      </c>
      <c r="AZ36">
        <v>1</v>
      </c>
      <c r="BA36">
        <v>13.81</v>
      </c>
      <c r="BB36">
        <v>7.52</v>
      </c>
      <c r="BC36">
        <v>2.41</v>
      </c>
      <c r="BH36">
        <v>0</v>
      </c>
      <c r="BI36">
        <v>1</v>
      </c>
      <c r="BJ36" t="s">
        <v>68</v>
      </c>
      <c r="BM36">
        <v>82</v>
      </c>
      <c r="BN36">
        <v>0</v>
      </c>
      <c r="BO36" t="s">
        <v>66</v>
      </c>
      <c r="BP36">
        <v>1</v>
      </c>
      <c r="BQ36">
        <v>30</v>
      </c>
      <c r="BS36">
        <v>13.81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77</v>
      </c>
      <c r="CA36">
        <v>44</v>
      </c>
      <c r="CF36">
        <v>0</v>
      </c>
      <c r="CG36">
        <v>0</v>
      </c>
      <c r="CM36">
        <v>0</v>
      </c>
      <c r="CO36">
        <v>0</v>
      </c>
      <c r="CP36">
        <f t="shared" si="30"/>
        <v>4899.8</v>
      </c>
      <c r="CQ36">
        <f t="shared" si="31"/>
        <v>6299.0652</v>
      </c>
      <c r="CR36">
        <f t="shared" si="32"/>
        <v>697.4799999999999</v>
      </c>
      <c r="CS36">
        <f t="shared" si="33"/>
        <v>69.39525</v>
      </c>
      <c r="CT36">
        <f t="shared" si="34"/>
        <v>73328.0618</v>
      </c>
      <c r="CU36">
        <f t="shared" si="35"/>
        <v>0</v>
      </c>
      <c r="CV36">
        <f t="shared" si="36"/>
        <v>446.2</v>
      </c>
      <c r="CW36">
        <f t="shared" si="37"/>
        <v>0</v>
      </c>
      <c r="CX36">
        <f t="shared" si="38"/>
        <v>0</v>
      </c>
      <c r="CY36">
        <f t="shared" si="39"/>
        <v>3444.2177</v>
      </c>
      <c r="CZ36">
        <f t="shared" si="40"/>
        <v>1968.1244000000002</v>
      </c>
      <c r="DE36" t="s">
        <v>31</v>
      </c>
      <c r="DF36" t="s">
        <v>31</v>
      </c>
      <c r="DG36" t="s">
        <v>32</v>
      </c>
      <c r="DI36" t="s">
        <v>32</v>
      </c>
      <c r="DJ36" t="s">
        <v>31</v>
      </c>
      <c r="DN36">
        <v>91</v>
      </c>
      <c r="DO36">
        <v>70</v>
      </c>
      <c r="DP36">
        <v>1.047</v>
      </c>
      <c r="DQ36">
        <v>1</v>
      </c>
      <c r="DU36">
        <v>1005</v>
      </c>
      <c r="DV36" t="s">
        <v>29</v>
      </c>
      <c r="DW36" t="s">
        <v>29</v>
      </c>
      <c r="DX36">
        <v>100</v>
      </c>
      <c r="EE36">
        <v>16349945</v>
      </c>
      <c r="EF36">
        <v>30</v>
      </c>
      <c r="EG36" t="s">
        <v>37</v>
      </c>
      <c r="EH36">
        <v>0</v>
      </c>
      <c r="EJ36">
        <v>1</v>
      </c>
      <c r="EK36">
        <v>82</v>
      </c>
      <c r="EL36" t="s">
        <v>69</v>
      </c>
      <c r="EM36" t="s">
        <v>70</v>
      </c>
      <c r="EQ36">
        <v>0</v>
      </c>
      <c r="ER36">
        <v>7305.12</v>
      </c>
      <c r="ES36">
        <v>2613.72</v>
      </c>
      <c r="ET36">
        <v>74.2</v>
      </c>
      <c r="EU36">
        <v>4.02</v>
      </c>
      <c r="EV36">
        <v>4617.2</v>
      </c>
      <c r="EW36">
        <v>388</v>
      </c>
      <c r="EX36">
        <v>0</v>
      </c>
      <c r="EY36">
        <v>0</v>
      </c>
      <c r="EZ36">
        <v>0</v>
      </c>
      <c r="FQ36">
        <v>0</v>
      </c>
      <c r="FR36">
        <f t="shared" si="41"/>
        <v>0</v>
      </c>
      <c r="FS36">
        <v>0</v>
      </c>
      <c r="FX36">
        <v>77</v>
      </c>
      <c r="FY36">
        <v>44</v>
      </c>
      <c r="GG36">
        <v>2</v>
      </c>
      <c r="GH36">
        <v>1</v>
      </c>
      <c r="GI36">
        <v>2</v>
      </c>
      <c r="GJ36">
        <v>0</v>
      </c>
      <c r="GK36">
        <f>ROUND(R36*(R12)/100,2)</f>
        <v>7.15</v>
      </c>
      <c r="GL36">
        <f t="shared" si="42"/>
        <v>0</v>
      </c>
      <c r="GM36">
        <f t="shared" si="43"/>
        <v>10319.289999999999</v>
      </c>
      <c r="GN36">
        <f t="shared" si="44"/>
        <v>10319.29</v>
      </c>
      <c r="GO36">
        <f t="shared" si="45"/>
        <v>0</v>
      </c>
      <c r="GP36">
        <f t="shared" si="46"/>
        <v>0</v>
      </c>
      <c r="GR36">
        <v>0</v>
      </c>
    </row>
    <row r="37" spans="1:200" ht="12.75">
      <c r="A37">
        <v>18</v>
      </c>
      <c r="B37">
        <v>1</v>
      </c>
      <c r="C37">
        <v>29</v>
      </c>
      <c r="E37" t="s">
        <v>71</v>
      </c>
      <c r="F37" t="s">
        <v>72</v>
      </c>
      <c r="G37" t="s">
        <v>73</v>
      </c>
      <c r="H37" t="s">
        <v>48</v>
      </c>
      <c r="I37">
        <f>I36*J37</f>
        <v>0.004819</v>
      </c>
      <c r="J37">
        <v>0.07900000000000001</v>
      </c>
      <c r="O37">
        <f t="shared" si="15"/>
        <v>270.1</v>
      </c>
      <c r="P37">
        <f t="shared" si="16"/>
        <v>270.1</v>
      </c>
      <c r="Q37">
        <f t="shared" si="17"/>
        <v>0</v>
      </c>
      <c r="R37">
        <f t="shared" si="18"/>
        <v>0</v>
      </c>
      <c r="S37">
        <f t="shared" si="19"/>
        <v>0</v>
      </c>
      <c r="T37">
        <f t="shared" si="20"/>
        <v>0</v>
      </c>
      <c r="U37">
        <f t="shared" si="21"/>
        <v>0</v>
      </c>
      <c r="V37">
        <f t="shared" si="22"/>
        <v>0</v>
      </c>
      <c r="W37">
        <f t="shared" si="23"/>
        <v>0</v>
      </c>
      <c r="X37">
        <f t="shared" si="24"/>
        <v>0</v>
      </c>
      <c r="Y37">
        <f t="shared" si="25"/>
        <v>0</v>
      </c>
      <c r="AA37">
        <v>16903935</v>
      </c>
      <c r="AB37">
        <f t="shared" si="26"/>
        <v>27885.31</v>
      </c>
      <c r="AC37">
        <f t="shared" si="27"/>
        <v>27885.31</v>
      </c>
      <c r="AD37">
        <f>ROUND((((ET37)-(EU37))+AE37),6)</f>
        <v>0</v>
      </c>
      <c r="AE37">
        <f aca="true" t="shared" si="47" ref="AE37:AF41">ROUND((EU37),6)</f>
        <v>0</v>
      </c>
      <c r="AF37">
        <f t="shared" si="47"/>
        <v>0</v>
      </c>
      <c r="AG37">
        <f t="shared" si="28"/>
        <v>0</v>
      </c>
      <c r="AH37">
        <f aca="true" t="shared" si="48" ref="AH37:AI41">(EW37)</f>
        <v>0</v>
      </c>
      <c r="AI37">
        <f t="shared" si="48"/>
        <v>0</v>
      </c>
      <c r="AJ37">
        <f t="shared" si="29"/>
        <v>0</v>
      </c>
      <c r="AK37">
        <v>27885.31</v>
      </c>
      <c r="AL37">
        <v>27885.31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2.01</v>
      </c>
      <c r="BH37">
        <v>3</v>
      </c>
      <c r="BI37">
        <v>1</v>
      </c>
      <c r="BJ37" t="s">
        <v>74</v>
      </c>
      <c r="BM37">
        <v>82</v>
      </c>
      <c r="BN37">
        <v>0</v>
      </c>
      <c r="BO37" t="s">
        <v>72</v>
      </c>
      <c r="BP37">
        <v>1</v>
      </c>
      <c r="BQ37">
        <v>30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30"/>
        <v>270.1</v>
      </c>
      <c r="CQ37">
        <f t="shared" si="31"/>
        <v>56049.473099999996</v>
      </c>
      <c r="CR37">
        <f t="shared" si="32"/>
        <v>0</v>
      </c>
      <c r="CS37">
        <f t="shared" si="33"/>
        <v>0</v>
      </c>
      <c r="CT37">
        <f t="shared" si="34"/>
        <v>0</v>
      </c>
      <c r="CU37">
        <f t="shared" si="35"/>
        <v>0</v>
      </c>
      <c r="CV37">
        <f t="shared" si="36"/>
        <v>0</v>
      </c>
      <c r="CW37">
        <f t="shared" si="37"/>
        <v>0</v>
      </c>
      <c r="CX37">
        <f t="shared" si="38"/>
        <v>0</v>
      </c>
      <c r="CY37">
        <f t="shared" si="39"/>
        <v>0</v>
      </c>
      <c r="CZ37">
        <f t="shared" si="40"/>
        <v>0</v>
      </c>
      <c r="DN37">
        <v>91</v>
      </c>
      <c r="DO37">
        <v>70</v>
      </c>
      <c r="DP37">
        <v>1.047</v>
      </c>
      <c r="DQ37">
        <v>1</v>
      </c>
      <c r="DU37">
        <v>1009</v>
      </c>
      <c r="DV37" t="s">
        <v>48</v>
      </c>
      <c r="DW37" t="s">
        <v>48</v>
      </c>
      <c r="DX37">
        <v>1000</v>
      </c>
      <c r="EE37">
        <v>16349945</v>
      </c>
      <c r="EF37">
        <v>30</v>
      </c>
      <c r="EG37" t="s">
        <v>37</v>
      </c>
      <c r="EH37">
        <v>0</v>
      </c>
      <c r="EJ37">
        <v>1</v>
      </c>
      <c r="EK37">
        <v>82</v>
      </c>
      <c r="EL37" t="s">
        <v>69</v>
      </c>
      <c r="EM37" t="s">
        <v>70</v>
      </c>
      <c r="EQ37">
        <v>0</v>
      </c>
      <c r="ER37">
        <v>27885.31</v>
      </c>
      <c r="ES37">
        <v>27885.31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0</v>
      </c>
      <c r="FQ37">
        <v>0</v>
      </c>
      <c r="FR37">
        <f t="shared" si="41"/>
        <v>0</v>
      </c>
      <c r="FS37">
        <v>0</v>
      </c>
      <c r="FX37">
        <v>0</v>
      </c>
      <c r="FY37">
        <v>0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2"/>
        <v>0</v>
      </c>
      <c r="GM37">
        <f t="shared" si="43"/>
        <v>270.1</v>
      </c>
      <c r="GN37">
        <f t="shared" si="44"/>
        <v>270.1</v>
      </c>
      <c r="GO37">
        <f t="shared" si="45"/>
        <v>0</v>
      </c>
      <c r="GP37">
        <f t="shared" si="46"/>
        <v>0</v>
      </c>
      <c r="GR37">
        <v>0</v>
      </c>
    </row>
    <row r="38" spans="1:200" ht="12.75">
      <c r="A38">
        <v>18</v>
      </c>
      <c r="B38">
        <v>1</v>
      </c>
      <c r="C38">
        <v>31</v>
      </c>
      <c r="E38" t="s">
        <v>75</v>
      </c>
      <c r="F38" t="s">
        <v>76</v>
      </c>
      <c r="G38" t="s">
        <v>77</v>
      </c>
      <c r="H38" t="s">
        <v>48</v>
      </c>
      <c r="I38">
        <f>I36*J38</f>
        <v>0.014700999999999999</v>
      </c>
      <c r="J38">
        <v>0.241</v>
      </c>
      <c r="O38">
        <f t="shared" si="15"/>
        <v>938.88</v>
      </c>
      <c r="P38">
        <f t="shared" si="16"/>
        <v>938.88</v>
      </c>
      <c r="Q38">
        <f t="shared" si="17"/>
        <v>0</v>
      </c>
      <c r="R38">
        <f t="shared" si="18"/>
        <v>0</v>
      </c>
      <c r="S38">
        <f t="shared" si="19"/>
        <v>0</v>
      </c>
      <c r="T38">
        <f t="shared" si="20"/>
        <v>0</v>
      </c>
      <c r="U38">
        <f t="shared" si="21"/>
        <v>0</v>
      </c>
      <c r="V38">
        <f t="shared" si="22"/>
        <v>0</v>
      </c>
      <c r="W38">
        <f t="shared" si="23"/>
        <v>0</v>
      </c>
      <c r="X38">
        <f t="shared" si="24"/>
        <v>0</v>
      </c>
      <c r="Y38">
        <f t="shared" si="25"/>
        <v>0</v>
      </c>
      <c r="AA38">
        <v>16903935</v>
      </c>
      <c r="AB38">
        <f t="shared" si="26"/>
        <v>27292.65</v>
      </c>
      <c r="AC38">
        <f t="shared" si="27"/>
        <v>27292.65</v>
      </c>
      <c r="AD38">
        <f>ROUND((((ET38)-(EU38))+AE38),6)</f>
        <v>0</v>
      </c>
      <c r="AE38">
        <f t="shared" si="47"/>
        <v>0</v>
      </c>
      <c r="AF38">
        <f t="shared" si="47"/>
        <v>0</v>
      </c>
      <c r="AG38">
        <f t="shared" si="28"/>
        <v>0</v>
      </c>
      <c r="AH38">
        <f t="shared" si="48"/>
        <v>0</v>
      </c>
      <c r="AI38">
        <f t="shared" si="48"/>
        <v>0</v>
      </c>
      <c r="AJ38">
        <f t="shared" si="29"/>
        <v>0</v>
      </c>
      <c r="AK38">
        <v>27292.65</v>
      </c>
      <c r="AL38">
        <v>27292.65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2.34</v>
      </c>
      <c r="BH38">
        <v>3</v>
      </c>
      <c r="BI38">
        <v>1</v>
      </c>
      <c r="BJ38" t="s">
        <v>78</v>
      </c>
      <c r="BM38">
        <v>82</v>
      </c>
      <c r="BN38">
        <v>0</v>
      </c>
      <c r="BO38" t="s">
        <v>76</v>
      </c>
      <c r="BP38">
        <v>1</v>
      </c>
      <c r="BQ38">
        <v>30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30"/>
        <v>938.88</v>
      </c>
      <c r="CQ38">
        <f t="shared" si="31"/>
        <v>63864.801</v>
      </c>
      <c r="CR38">
        <f t="shared" si="32"/>
        <v>0</v>
      </c>
      <c r="CS38">
        <f t="shared" si="33"/>
        <v>0</v>
      </c>
      <c r="CT38">
        <f t="shared" si="34"/>
        <v>0</v>
      </c>
      <c r="CU38">
        <f t="shared" si="35"/>
        <v>0</v>
      </c>
      <c r="CV38">
        <f t="shared" si="36"/>
        <v>0</v>
      </c>
      <c r="CW38">
        <f t="shared" si="37"/>
        <v>0</v>
      </c>
      <c r="CX38">
        <f t="shared" si="38"/>
        <v>0</v>
      </c>
      <c r="CY38">
        <f t="shared" si="39"/>
        <v>0</v>
      </c>
      <c r="CZ38">
        <f t="shared" si="40"/>
        <v>0</v>
      </c>
      <c r="DN38">
        <v>91</v>
      </c>
      <c r="DO38">
        <v>70</v>
      </c>
      <c r="DP38">
        <v>1.047</v>
      </c>
      <c r="DQ38">
        <v>1</v>
      </c>
      <c r="DU38">
        <v>1009</v>
      </c>
      <c r="DV38" t="s">
        <v>48</v>
      </c>
      <c r="DW38" t="s">
        <v>48</v>
      </c>
      <c r="DX38">
        <v>1000</v>
      </c>
      <c r="EE38">
        <v>16349945</v>
      </c>
      <c r="EF38">
        <v>30</v>
      </c>
      <c r="EG38" t="s">
        <v>37</v>
      </c>
      <c r="EH38">
        <v>0</v>
      </c>
      <c r="EJ38">
        <v>1</v>
      </c>
      <c r="EK38">
        <v>82</v>
      </c>
      <c r="EL38" t="s">
        <v>69</v>
      </c>
      <c r="EM38" t="s">
        <v>70</v>
      </c>
      <c r="EQ38">
        <v>0</v>
      </c>
      <c r="ER38">
        <v>27292.65</v>
      </c>
      <c r="ES38">
        <v>27292.65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0</v>
      </c>
      <c r="FQ38">
        <v>0</v>
      </c>
      <c r="FR38">
        <f t="shared" si="41"/>
        <v>0</v>
      </c>
      <c r="FS38">
        <v>0</v>
      </c>
      <c r="FX38">
        <v>0</v>
      </c>
      <c r="FY38">
        <v>0</v>
      </c>
      <c r="GG38">
        <v>2</v>
      </c>
      <c r="GH38">
        <v>1</v>
      </c>
      <c r="GI38">
        <v>2</v>
      </c>
      <c r="GJ38">
        <v>0</v>
      </c>
      <c r="GK38">
        <f>ROUND(R38*(R12)/100,2)</f>
        <v>0</v>
      </c>
      <c r="GL38">
        <f t="shared" si="42"/>
        <v>0</v>
      </c>
      <c r="GM38">
        <f t="shared" si="43"/>
        <v>938.88</v>
      </c>
      <c r="GN38">
        <f t="shared" si="44"/>
        <v>938.88</v>
      </c>
      <c r="GO38">
        <f t="shared" si="45"/>
        <v>0</v>
      </c>
      <c r="GP38">
        <f t="shared" si="46"/>
        <v>0</v>
      </c>
      <c r="GR38">
        <v>0</v>
      </c>
    </row>
    <row r="39" spans="1:200" ht="12.75">
      <c r="A39">
        <v>18</v>
      </c>
      <c r="B39">
        <v>1</v>
      </c>
      <c r="C39">
        <v>30</v>
      </c>
      <c r="E39" t="s">
        <v>79</v>
      </c>
      <c r="F39" t="s">
        <v>80</v>
      </c>
      <c r="G39" t="s">
        <v>81</v>
      </c>
      <c r="H39" t="s">
        <v>48</v>
      </c>
      <c r="I39">
        <f>I36*J39</f>
        <v>0.0011589999999999999</v>
      </c>
      <c r="J39">
        <v>0.019</v>
      </c>
      <c r="O39">
        <f t="shared" si="15"/>
        <v>157.36</v>
      </c>
      <c r="P39">
        <f t="shared" si="16"/>
        <v>157.36</v>
      </c>
      <c r="Q39">
        <f t="shared" si="17"/>
        <v>0</v>
      </c>
      <c r="R39">
        <f t="shared" si="18"/>
        <v>0</v>
      </c>
      <c r="S39">
        <f t="shared" si="19"/>
        <v>0</v>
      </c>
      <c r="T39">
        <f t="shared" si="20"/>
        <v>0</v>
      </c>
      <c r="U39">
        <f t="shared" si="21"/>
        <v>0</v>
      </c>
      <c r="V39">
        <f t="shared" si="22"/>
        <v>0</v>
      </c>
      <c r="W39">
        <f t="shared" si="23"/>
        <v>0</v>
      </c>
      <c r="X39">
        <f t="shared" si="24"/>
        <v>0</v>
      </c>
      <c r="Y39">
        <f t="shared" si="25"/>
        <v>0</v>
      </c>
      <c r="AA39">
        <v>16903935</v>
      </c>
      <c r="AB39">
        <f t="shared" si="26"/>
        <v>60883.49</v>
      </c>
      <c r="AC39">
        <f t="shared" si="27"/>
        <v>60883.49</v>
      </c>
      <c r="AD39">
        <f>ROUND((((ET39)-(EU39))+AE39),6)</f>
        <v>0</v>
      </c>
      <c r="AE39">
        <f t="shared" si="47"/>
        <v>0</v>
      </c>
      <c r="AF39">
        <f t="shared" si="47"/>
        <v>0</v>
      </c>
      <c r="AG39">
        <f t="shared" si="28"/>
        <v>0</v>
      </c>
      <c r="AH39">
        <f t="shared" si="48"/>
        <v>0</v>
      </c>
      <c r="AI39">
        <f t="shared" si="48"/>
        <v>0</v>
      </c>
      <c r="AJ39">
        <f t="shared" si="29"/>
        <v>0</v>
      </c>
      <c r="AK39">
        <v>60883.49</v>
      </c>
      <c r="AL39">
        <v>60883.49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2.23</v>
      </c>
      <c r="BH39">
        <v>3</v>
      </c>
      <c r="BI39">
        <v>1</v>
      </c>
      <c r="BJ39" t="s">
        <v>82</v>
      </c>
      <c r="BM39">
        <v>82</v>
      </c>
      <c r="BN39">
        <v>0</v>
      </c>
      <c r="BO39" t="s">
        <v>80</v>
      </c>
      <c r="BP39">
        <v>1</v>
      </c>
      <c r="BQ39">
        <v>30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30"/>
        <v>157.36</v>
      </c>
      <c r="CQ39">
        <f t="shared" si="31"/>
        <v>135770.1827</v>
      </c>
      <c r="CR39">
        <f t="shared" si="32"/>
        <v>0</v>
      </c>
      <c r="CS39">
        <f t="shared" si="33"/>
        <v>0</v>
      </c>
      <c r="CT39">
        <f t="shared" si="34"/>
        <v>0</v>
      </c>
      <c r="CU39">
        <f t="shared" si="35"/>
        <v>0</v>
      </c>
      <c r="CV39">
        <f t="shared" si="36"/>
        <v>0</v>
      </c>
      <c r="CW39">
        <f t="shared" si="37"/>
        <v>0</v>
      </c>
      <c r="CX39">
        <f t="shared" si="38"/>
        <v>0</v>
      </c>
      <c r="CY39">
        <f t="shared" si="39"/>
        <v>0</v>
      </c>
      <c r="CZ39">
        <f t="shared" si="40"/>
        <v>0</v>
      </c>
      <c r="DN39">
        <v>91</v>
      </c>
      <c r="DO39">
        <v>70</v>
      </c>
      <c r="DP39">
        <v>1.047</v>
      </c>
      <c r="DQ39">
        <v>1</v>
      </c>
      <c r="DU39">
        <v>1009</v>
      </c>
      <c r="DV39" t="s">
        <v>48</v>
      </c>
      <c r="DW39" t="s">
        <v>48</v>
      </c>
      <c r="DX39">
        <v>1000</v>
      </c>
      <c r="EE39">
        <v>16349945</v>
      </c>
      <c r="EF39">
        <v>30</v>
      </c>
      <c r="EG39" t="s">
        <v>37</v>
      </c>
      <c r="EH39">
        <v>0</v>
      </c>
      <c r="EJ39">
        <v>1</v>
      </c>
      <c r="EK39">
        <v>82</v>
      </c>
      <c r="EL39" t="s">
        <v>69</v>
      </c>
      <c r="EM39" t="s">
        <v>70</v>
      </c>
      <c r="EQ39">
        <v>0</v>
      </c>
      <c r="ER39">
        <v>60883.49</v>
      </c>
      <c r="ES39">
        <v>60883.49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41"/>
        <v>0</v>
      </c>
      <c r="FS39">
        <v>0</v>
      </c>
      <c r="FX39">
        <v>0</v>
      </c>
      <c r="FY39">
        <v>0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42"/>
        <v>0</v>
      </c>
      <c r="GM39">
        <f t="shared" si="43"/>
        <v>157.36</v>
      </c>
      <c r="GN39">
        <f t="shared" si="44"/>
        <v>157.36</v>
      </c>
      <c r="GO39">
        <f t="shared" si="45"/>
        <v>0</v>
      </c>
      <c r="GP39">
        <f t="shared" si="46"/>
        <v>0</v>
      </c>
      <c r="GR39">
        <v>0</v>
      </c>
    </row>
    <row r="40" spans="1:200" ht="12.75">
      <c r="A40">
        <v>18</v>
      </c>
      <c r="B40">
        <v>1</v>
      </c>
      <c r="C40">
        <v>27</v>
      </c>
      <c r="E40" t="s">
        <v>83</v>
      </c>
      <c r="F40" t="s">
        <v>84</v>
      </c>
      <c r="G40" t="s">
        <v>85</v>
      </c>
      <c r="H40" t="s">
        <v>43</v>
      </c>
      <c r="I40">
        <f>I36*J40</f>
        <v>13.969</v>
      </c>
      <c r="J40">
        <v>229</v>
      </c>
      <c r="O40">
        <f t="shared" si="15"/>
        <v>1090</v>
      </c>
      <c r="P40">
        <f t="shared" si="16"/>
        <v>1090</v>
      </c>
      <c r="Q40">
        <f t="shared" si="17"/>
        <v>0</v>
      </c>
      <c r="R40">
        <f t="shared" si="18"/>
        <v>0</v>
      </c>
      <c r="S40">
        <f t="shared" si="19"/>
        <v>0</v>
      </c>
      <c r="T40">
        <f t="shared" si="20"/>
        <v>0</v>
      </c>
      <c r="U40">
        <f t="shared" si="21"/>
        <v>0</v>
      </c>
      <c r="V40">
        <f t="shared" si="22"/>
        <v>0</v>
      </c>
      <c r="W40">
        <f t="shared" si="23"/>
        <v>0</v>
      </c>
      <c r="X40">
        <f t="shared" si="24"/>
        <v>0</v>
      </c>
      <c r="Y40">
        <f t="shared" si="25"/>
        <v>0</v>
      </c>
      <c r="AA40">
        <v>16903935</v>
      </c>
      <c r="AB40">
        <f t="shared" si="26"/>
        <v>34.68</v>
      </c>
      <c r="AC40">
        <f t="shared" si="27"/>
        <v>34.68</v>
      </c>
      <c r="AD40">
        <f>ROUND((((ET40)-(EU40))+AE40),6)</f>
        <v>0</v>
      </c>
      <c r="AE40">
        <f t="shared" si="47"/>
        <v>0</v>
      </c>
      <c r="AF40">
        <f t="shared" si="47"/>
        <v>0</v>
      </c>
      <c r="AG40">
        <f t="shared" si="28"/>
        <v>0</v>
      </c>
      <c r="AH40">
        <f t="shared" si="48"/>
        <v>0</v>
      </c>
      <c r="AI40">
        <f t="shared" si="48"/>
        <v>0</v>
      </c>
      <c r="AJ40">
        <f t="shared" si="29"/>
        <v>0</v>
      </c>
      <c r="AK40">
        <v>34.68</v>
      </c>
      <c r="AL40">
        <v>34.68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2.25</v>
      </c>
      <c r="BH40">
        <v>3</v>
      </c>
      <c r="BI40">
        <v>1</v>
      </c>
      <c r="BJ40" t="s">
        <v>86</v>
      </c>
      <c r="BM40">
        <v>82</v>
      </c>
      <c r="BN40">
        <v>0</v>
      </c>
      <c r="BO40" t="s">
        <v>84</v>
      </c>
      <c r="BP40">
        <v>1</v>
      </c>
      <c r="BQ40">
        <v>30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O40">
        <v>0</v>
      </c>
      <c r="CP40">
        <f t="shared" si="30"/>
        <v>1090</v>
      </c>
      <c r="CQ40">
        <f t="shared" si="31"/>
        <v>78.03</v>
      </c>
      <c r="CR40">
        <f t="shared" si="32"/>
        <v>0</v>
      </c>
      <c r="CS40">
        <f t="shared" si="33"/>
        <v>0</v>
      </c>
      <c r="CT40">
        <f t="shared" si="34"/>
        <v>0</v>
      </c>
      <c r="CU40">
        <f t="shared" si="35"/>
        <v>0</v>
      </c>
      <c r="CV40">
        <f t="shared" si="36"/>
        <v>0</v>
      </c>
      <c r="CW40">
        <f t="shared" si="37"/>
        <v>0</v>
      </c>
      <c r="CX40">
        <f t="shared" si="38"/>
        <v>0</v>
      </c>
      <c r="CY40">
        <f t="shared" si="39"/>
        <v>0</v>
      </c>
      <c r="CZ40">
        <f t="shared" si="40"/>
        <v>0</v>
      </c>
      <c r="DN40">
        <v>91</v>
      </c>
      <c r="DO40">
        <v>70</v>
      </c>
      <c r="DP40">
        <v>1.047</v>
      </c>
      <c r="DQ40">
        <v>1</v>
      </c>
      <c r="DU40">
        <v>1005</v>
      </c>
      <c r="DV40" t="s">
        <v>43</v>
      </c>
      <c r="DW40" t="s">
        <v>43</v>
      </c>
      <c r="DX40">
        <v>1</v>
      </c>
      <c r="EE40">
        <v>16349945</v>
      </c>
      <c r="EF40">
        <v>30</v>
      </c>
      <c r="EG40" t="s">
        <v>37</v>
      </c>
      <c r="EH40">
        <v>0</v>
      </c>
      <c r="EJ40">
        <v>1</v>
      </c>
      <c r="EK40">
        <v>82</v>
      </c>
      <c r="EL40" t="s">
        <v>69</v>
      </c>
      <c r="EM40" t="s">
        <v>70</v>
      </c>
      <c r="EQ40">
        <v>0</v>
      </c>
      <c r="ER40">
        <v>34.68</v>
      </c>
      <c r="ES40">
        <v>34.68</v>
      </c>
      <c r="ET40">
        <v>0</v>
      </c>
      <c r="EU40">
        <v>0</v>
      </c>
      <c r="EV40">
        <v>0</v>
      </c>
      <c r="EW40">
        <v>0</v>
      </c>
      <c r="EX40">
        <v>0</v>
      </c>
      <c r="EZ40">
        <v>0</v>
      </c>
      <c r="FQ40">
        <v>0</v>
      </c>
      <c r="FR40">
        <f t="shared" si="41"/>
        <v>0</v>
      </c>
      <c r="FS40">
        <v>0</v>
      </c>
      <c r="FX40">
        <v>0</v>
      </c>
      <c r="FY40">
        <v>0</v>
      </c>
      <c r="GG40">
        <v>2</v>
      </c>
      <c r="GH40">
        <v>1</v>
      </c>
      <c r="GI40">
        <v>2</v>
      </c>
      <c r="GJ40">
        <v>0</v>
      </c>
      <c r="GK40">
        <f>ROUND(R40*(R12)/100,2)</f>
        <v>0</v>
      </c>
      <c r="GL40">
        <f t="shared" si="42"/>
        <v>0</v>
      </c>
      <c r="GM40">
        <f t="shared" si="43"/>
        <v>1090</v>
      </c>
      <c r="GN40">
        <f t="shared" si="44"/>
        <v>1090</v>
      </c>
      <c r="GO40">
        <f t="shared" si="45"/>
        <v>0</v>
      </c>
      <c r="GP40">
        <f t="shared" si="46"/>
        <v>0</v>
      </c>
      <c r="GR40">
        <v>0</v>
      </c>
    </row>
    <row r="41" spans="1:200" ht="12.75">
      <c r="A41">
        <v>18</v>
      </c>
      <c r="B41">
        <v>1</v>
      </c>
      <c r="C41">
        <v>28</v>
      </c>
      <c r="E41" t="s">
        <v>87</v>
      </c>
      <c r="F41" t="s">
        <v>88</v>
      </c>
      <c r="G41" t="s">
        <v>89</v>
      </c>
      <c r="H41" t="s">
        <v>90</v>
      </c>
      <c r="I41">
        <f>I36*J41</f>
        <v>0.31415000000000004</v>
      </c>
      <c r="J41">
        <v>5.15</v>
      </c>
      <c r="O41">
        <f t="shared" si="15"/>
        <v>1208.93</v>
      </c>
      <c r="P41">
        <f t="shared" si="16"/>
        <v>1208.93</v>
      </c>
      <c r="Q41">
        <f t="shared" si="17"/>
        <v>0</v>
      </c>
      <c r="R41">
        <f t="shared" si="18"/>
        <v>0</v>
      </c>
      <c r="S41">
        <f t="shared" si="19"/>
        <v>0</v>
      </c>
      <c r="T41">
        <f t="shared" si="20"/>
        <v>0</v>
      </c>
      <c r="U41">
        <f t="shared" si="21"/>
        <v>0</v>
      </c>
      <c r="V41">
        <f t="shared" si="22"/>
        <v>0</v>
      </c>
      <c r="W41">
        <f t="shared" si="23"/>
        <v>0</v>
      </c>
      <c r="X41">
        <f t="shared" si="24"/>
        <v>0</v>
      </c>
      <c r="Y41">
        <f t="shared" si="25"/>
        <v>0</v>
      </c>
      <c r="AA41">
        <v>16903935</v>
      </c>
      <c r="AB41">
        <f t="shared" si="26"/>
        <v>901.23</v>
      </c>
      <c r="AC41">
        <f t="shared" si="27"/>
        <v>901.23</v>
      </c>
      <c r="AD41">
        <f>ROUND((((ET41)-(EU41))+AE41),6)</f>
        <v>0</v>
      </c>
      <c r="AE41">
        <f t="shared" si="47"/>
        <v>0</v>
      </c>
      <c r="AF41">
        <f t="shared" si="47"/>
        <v>0</v>
      </c>
      <c r="AG41">
        <f t="shared" si="28"/>
        <v>0</v>
      </c>
      <c r="AH41">
        <f t="shared" si="48"/>
        <v>0</v>
      </c>
      <c r="AI41">
        <f t="shared" si="48"/>
        <v>0</v>
      </c>
      <c r="AJ41">
        <f t="shared" si="29"/>
        <v>0</v>
      </c>
      <c r="AK41">
        <v>901.23</v>
      </c>
      <c r="AL41">
        <v>901.23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4.27</v>
      </c>
      <c r="BH41">
        <v>3</v>
      </c>
      <c r="BI41">
        <v>1</v>
      </c>
      <c r="BJ41" t="s">
        <v>91</v>
      </c>
      <c r="BM41">
        <v>82</v>
      </c>
      <c r="BN41">
        <v>0</v>
      </c>
      <c r="BO41" t="s">
        <v>88</v>
      </c>
      <c r="BP41">
        <v>1</v>
      </c>
      <c r="BQ41">
        <v>30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30"/>
        <v>1208.93</v>
      </c>
      <c r="CQ41">
        <f t="shared" si="31"/>
        <v>3848.2520999999997</v>
      </c>
      <c r="CR41">
        <f t="shared" si="32"/>
        <v>0</v>
      </c>
      <c r="CS41">
        <f t="shared" si="33"/>
        <v>0</v>
      </c>
      <c r="CT41">
        <f t="shared" si="34"/>
        <v>0</v>
      </c>
      <c r="CU41">
        <f t="shared" si="35"/>
        <v>0</v>
      </c>
      <c r="CV41">
        <f t="shared" si="36"/>
        <v>0</v>
      </c>
      <c r="CW41">
        <f t="shared" si="37"/>
        <v>0</v>
      </c>
      <c r="CX41">
        <f t="shared" si="38"/>
        <v>0</v>
      </c>
      <c r="CY41">
        <f t="shared" si="39"/>
        <v>0</v>
      </c>
      <c r="CZ41">
        <f t="shared" si="40"/>
        <v>0</v>
      </c>
      <c r="DN41">
        <v>91</v>
      </c>
      <c r="DO41">
        <v>70</v>
      </c>
      <c r="DP41">
        <v>1.047</v>
      </c>
      <c r="DQ41">
        <v>1</v>
      </c>
      <c r="DU41">
        <v>1007</v>
      </c>
      <c r="DV41" t="s">
        <v>90</v>
      </c>
      <c r="DW41" t="s">
        <v>90</v>
      </c>
      <c r="DX41">
        <v>1</v>
      </c>
      <c r="EE41">
        <v>16349945</v>
      </c>
      <c r="EF41">
        <v>30</v>
      </c>
      <c r="EG41" t="s">
        <v>37</v>
      </c>
      <c r="EH41">
        <v>0</v>
      </c>
      <c r="EJ41">
        <v>1</v>
      </c>
      <c r="EK41">
        <v>82</v>
      </c>
      <c r="EL41" t="s">
        <v>69</v>
      </c>
      <c r="EM41" t="s">
        <v>70</v>
      </c>
      <c r="EQ41">
        <v>0</v>
      </c>
      <c r="ER41">
        <v>901.23</v>
      </c>
      <c r="ES41">
        <v>901.23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0</v>
      </c>
      <c r="FQ41">
        <v>0</v>
      </c>
      <c r="FR41">
        <f t="shared" si="41"/>
        <v>0</v>
      </c>
      <c r="FS41">
        <v>0</v>
      </c>
      <c r="FX41">
        <v>0</v>
      </c>
      <c r="FY41">
        <v>0</v>
      </c>
      <c r="GG41">
        <v>2</v>
      </c>
      <c r="GH41">
        <v>1</v>
      </c>
      <c r="GI41">
        <v>2</v>
      </c>
      <c r="GJ41">
        <v>0</v>
      </c>
      <c r="GK41">
        <f>ROUND(R41*(R12)/100,2)</f>
        <v>0</v>
      </c>
      <c r="GL41">
        <f t="shared" si="42"/>
        <v>0</v>
      </c>
      <c r="GM41">
        <f t="shared" si="43"/>
        <v>1208.93</v>
      </c>
      <c r="GN41">
        <f t="shared" si="44"/>
        <v>1208.93</v>
      </c>
      <c r="GO41">
        <f t="shared" si="45"/>
        <v>0</v>
      </c>
      <c r="GP41">
        <f t="shared" si="46"/>
        <v>0</v>
      </c>
      <c r="GR41">
        <v>0</v>
      </c>
    </row>
    <row r="42" spans="1:200" ht="12.75">
      <c r="A42">
        <v>17</v>
      </c>
      <c r="B42">
        <v>1</v>
      </c>
      <c r="C42">
        <f>ROW(SmtRes!A35)</f>
        <v>35</v>
      </c>
      <c r="D42">
        <f>ROW(EtalonRes!A35)</f>
        <v>35</v>
      </c>
      <c r="E42" t="s">
        <v>92</v>
      </c>
      <c r="F42" t="s">
        <v>93</v>
      </c>
      <c r="G42" t="s">
        <v>94</v>
      </c>
      <c r="H42" t="s">
        <v>29</v>
      </c>
      <c r="I42">
        <v>0.122</v>
      </c>
      <c r="J42">
        <v>0</v>
      </c>
      <c r="O42">
        <f t="shared" si="15"/>
        <v>1555.17</v>
      </c>
      <c r="P42">
        <f t="shared" si="16"/>
        <v>44.19</v>
      </c>
      <c r="Q42">
        <f t="shared" si="17"/>
        <v>7.14</v>
      </c>
      <c r="R42">
        <f t="shared" si="18"/>
        <v>1.1</v>
      </c>
      <c r="S42">
        <f t="shared" si="19"/>
        <v>1503.84</v>
      </c>
      <c r="T42">
        <f t="shared" si="20"/>
        <v>0</v>
      </c>
      <c r="U42">
        <f t="shared" si="21"/>
        <v>9.259799999999998</v>
      </c>
      <c r="V42">
        <f t="shared" si="22"/>
        <v>0</v>
      </c>
      <c r="W42">
        <f t="shared" si="23"/>
        <v>0</v>
      </c>
      <c r="X42">
        <f t="shared" si="24"/>
        <v>1157.96</v>
      </c>
      <c r="Y42">
        <f t="shared" si="25"/>
        <v>661.69</v>
      </c>
      <c r="AA42">
        <v>16903935</v>
      </c>
      <c r="AB42">
        <f t="shared" si="26"/>
        <v>1190.444</v>
      </c>
      <c r="AC42">
        <f t="shared" si="27"/>
        <v>287.46</v>
      </c>
      <c r="AD42">
        <f>ROUND(((((ET42*1.25))-((EU42*1.25)))+AE42),6)</f>
        <v>10.4</v>
      </c>
      <c r="AE42">
        <f>ROUND(((EU42*1.25)),6)</f>
        <v>0.65</v>
      </c>
      <c r="AF42">
        <f>ROUND(((EV42*1.15)),6)</f>
        <v>892.584</v>
      </c>
      <c r="AG42">
        <f t="shared" si="28"/>
        <v>0</v>
      </c>
      <c r="AH42">
        <f>((EW42*1.15))</f>
        <v>75.89999999999999</v>
      </c>
      <c r="AI42">
        <f>((EX42*1.25))</f>
        <v>0</v>
      </c>
      <c r="AJ42">
        <f t="shared" si="29"/>
        <v>0</v>
      </c>
      <c r="AK42">
        <v>1071.94</v>
      </c>
      <c r="AL42">
        <v>287.46</v>
      </c>
      <c r="AM42">
        <v>8.32</v>
      </c>
      <c r="AN42">
        <v>0.52</v>
      </c>
      <c r="AO42">
        <v>776.16</v>
      </c>
      <c r="AP42">
        <v>0</v>
      </c>
      <c r="AQ42">
        <v>66</v>
      </c>
      <c r="AR42">
        <v>0</v>
      </c>
      <c r="AS42">
        <v>0</v>
      </c>
      <c r="AT42">
        <v>77</v>
      </c>
      <c r="AU42">
        <v>44</v>
      </c>
      <c r="AV42">
        <v>1</v>
      </c>
      <c r="AW42">
        <v>1</v>
      </c>
      <c r="AZ42">
        <v>1</v>
      </c>
      <c r="BA42">
        <v>13.81</v>
      </c>
      <c r="BB42">
        <v>5.63</v>
      </c>
      <c r="BC42">
        <v>1.26</v>
      </c>
      <c r="BH42">
        <v>0</v>
      </c>
      <c r="BI42">
        <v>1</v>
      </c>
      <c r="BJ42" t="s">
        <v>95</v>
      </c>
      <c r="BM42">
        <v>82</v>
      </c>
      <c r="BN42">
        <v>0</v>
      </c>
      <c r="BO42" t="s">
        <v>93</v>
      </c>
      <c r="BP42">
        <v>1</v>
      </c>
      <c r="BQ42">
        <v>30</v>
      </c>
      <c r="BS42">
        <v>13.81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77</v>
      </c>
      <c r="CA42">
        <v>44</v>
      </c>
      <c r="CF42">
        <v>0</v>
      </c>
      <c r="CG42">
        <v>0</v>
      </c>
      <c r="CM42">
        <v>0</v>
      </c>
      <c r="CO42">
        <v>0</v>
      </c>
      <c r="CP42">
        <f t="shared" si="30"/>
        <v>1555.1699999999998</v>
      </c>
      <c r="CQ42">
        <f t="shared" si="31"/>
        <v>362.1996</v>
      </c>
      <c r="CR42">
        <f t="shared" si="32"/>
        <v>58.552</v>
      </c>
      <c r="CS42">
        <f t="shared" si="33"/>
        <v>8.976500000000001</v>
      </c>
      <c r="CT42">
        <f t="shared" si="34"/>
        <v>12326.58504</v>
      </c>
      <c r="CU42">
        <f t="shared" si="35"/>
        <v>0</v>
      </c>
      <c r="CV42">
        <f t="shared" si="36"/>
        <v>75.89999999999999</v>
      </c>
      <c r="CW42">
        <f t="shared" si="37"/>
        <v>0</v>
      </c>
      <c r="CX42">
        <f t="shared" si="38"/>
        <v>0</v>
      </c>
      <c r="CY42">
        <f t="shared" si="39"/>
        <v>1157.9568</v>
      </c>
      <c r="CZ42">
        <f t="shared" si="40"/>
        <v>661.6895999999999</v>
      </c>
      <c r="DE42" t="s">
        <v>31</v>
      </c>
      <c r="DF42" t="s">
        <v>31</v>
      </c>
      <c r="DG42" t="s">
        <v>32</v>
      </c>
      <c r="DI42" t="s">
        <v>32</v>
      </c>
      <c r="DJ42" t="s">
        <v>31</v>
      </c>
      <c r="DN42">
        <v>91</v>
      </c>
      <c r="DO42">
        <v>70</v>
      </c>
      <c r="DP42">
        <v>1.047</v>
      </c>
      <c r="DQ42">
        <v>1</v>
      </c>
      <c r="DU42">
        <v>1005</v>
      </c>
      <c r="DV42" t="s">
        <v>29</v>
      </c>
      <c r="DW42" t="s">
        <v>29</v>
      </c>
      <c r="DX42">
        <v>100</v>
      </c>
      <c r="EE42">
        <v>16349945</v>
      </c>
      <c r="EF42">
        <v>30</v>
      </c>
      <c r="EG42" t="s">
        <v>37</v>
      </c>
      <c r="EH42">
        <v>0</v>
      </c>
      <c r="EJ42">
        <v>1</v>
      </c>
      <c r="EK42">
        <v>82</v>
      </c>
      <c r="EL42" t="s">
        <v>69</v>
      </c>
      <c r="EM42" t="s">
        <v>70</v>
      </c>
      <c r="EQ42">
        <v>0</v>
      </c>
      <c r="ER42">
        <v>1071.94</v>
      </c>
      <c r="ES42">
        <v>287.46</v>
      </c>
      <c r="ET42">
        <v>8.32</v>
      </c>
      <c r="EU42">
        <v>0.52</v>
      </c>
      <c r="EV42">
        <v>776.16</v>
      </c>
      <c r="EW42">
        <v>66</v>
      </c>
      <c r="EX42">
        <v>0</v>
      </c>
      <c r="EY42">
        <v>0</v>
      </c>
      <c r="EZ42">
        <v>0</v>
      </c>
      <c r="FQ42">
        <v>0</v>
      </c>
      <c r="FR42">
        <f t="shared" si="41"/>
        <v>0</v>
      </c>
      <c r="FS42">
        <v>0</v>
      </c>
      <c r="FX42">
        <v>77</v>
      </c>
      <c r="FY42">
        <v>44</v>
      </c>
      <c r="GG42">
        <v>2</v>
      </c>
      <c r="GH42">
        <v>1</v>
      </c>
      <c r="GI42">
        <v>2</v>
      </c>
      <c r="GJ42">
        <v>0</v>
      </c>
      <c r="GK42">
        <f>ROUND(R42*(R12)/100,2)</f>
        <v>1.86</v>
      </c>
      <c r="GL42">
        <f t="shared" si="42"/>
        <v>0</v>
      </c>
      <c r="GM42">
        <f t="shared" si="43"/>
        <v>3376.6800000000003</v>
      </c>
      <c r="GN42">
        <f t="shared" si="44"/>
        <v>3376.68</v>
      </c>
      <c r="GO42">
        <f t="shared" si="45"/>
        <v>0</v>
      </c>
      <c r="GP42">
        <f t="shared" si="46"/>
        <v>0</v>
      </c>
      <c r="GR42">
        <v>0</v>
      </c>
    </row>
    <row r="43" spans="1:200" ht="12.75">
      <c r="A43">
        <v>18</v>
      </c>
      <c r="B43">
        <v>1</v>
      </c>
      <c r="C43">
        <v>35</v>
      </c>
      <c r="E43" t="s">
        <v>96</v>
      </c>
      <c r="F43" t="s">
        <v>84</v>
      </c>
      <c r="G43" t="s">
        <v>85</v>
      </c>
      <c r="H43" t="s">
        <v>43</v>
      </c>
      <c r="I43">
        <f>I42*J43</f>
        <v>14.798599999999999</v>
      </c>
      <c r="J43">
        <v>121.3</v>
      </c>
      <c r="O43">
        <f t="shared" si="15"/>
        <v>1154.73</v>
      </c>
      <c r="P43">
        <f t="shared" si="16"/>
        <v>1154.73</v>
      </c>
      <c r="Q43">
        <f t="shared" si="17"/>
        <v>0</v>
      </c>
      <c r="R43">
        <f t="shared" si="18"/>
        <v>0</v>
      </c>
      <c r="S43">
        <f t="shared" si="19"/>
        <v>0</v>
      </c>
      <c r="T43">
        <f t="shared" si="20"/>
        <v>0</v>
      </c>
      <c r="U43">
        <f t="shared" si="21"/>
        <v>0</v>
      </c>
      <c r="V43">
        <f t="shared" si="22"/>
        <v>0</v>
      </c>
      <c r="W43">
        <f t="shared" si="23"/>
        <v>0</v>
      </c>
      <c r="X43">
        <f t="shared" si="24"/>
        <v>0</v>
      </c>
      <c r="Y43">
        <f t="shared" si="25"/>
        <v>0</v>
      </c>
      <c r="AA43">
        <v>16903935</v>
      </c>
      <c r="AB43">
        <f t="shared" si="26"/>
        <v>34.68</v>
      </c>
      <c r="AC43">
        <f t="shared" si="27"/>
        <v>34.68</v>
      </c>
      <c r="AD43">
        <f>ROUND((((ET43)-(EU43))+AE43),6)</f>
        <v>0</v>
      </c>
      <c r="AE43">
        <f>ROUND((EU43),6)</f>
        <v>0</v>
      </c>
      <c r="AF43">
        <f>ROUND((EV43),6)</f>
        <v>0</v>
      </c>
      <c r="AG43">
        <f t="shared" si="28"/>
        <v>0</v>
      </c>
      <c r="AH43">
        <f>(EW43)</f>
        <v>0</v>
      </c>
      <c r="AI43">
        <f>(EX43)</f>
        <v>0</v>
      </c>
      <c r="AJ43">
        <f t="shared" si="29"/>
        <v>0</v>
      </c>
      <c r="AK43">
        <v>34.68</v>
      </c>
      <c r="AL43">
        <v>34.68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2.25</v>
      </c>
      <c r="BH43">
        <v>3</v>
      </c>
      <c r="BI43">
        <v>1</v>
      </c>
      <c r="BJ43" t="s">
        <v>86</v>
      </c>
      <c r="BM43">
        <v>82</v>
      </c>
      <c r="BN43">
        <v>0</v>
      </c>
      <c r="BO43" t="s">
        <v>84</v>
      </c>
      <c r="BP43">
        <v>1</v>
      </c>
      <c r="BQ43">
        <v>30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0</v>
      </c>
      <c r="CA43">
        <v>0</v>
      </c>
      <c r="CF43">
        <v>0</v>
      </c>
      <c r="CG43">
        <v>0</v>
      </c>
      <c r="CM43">
        <v>0</v>
      </c>
      <c r="CO43">
        <v>0</v>
      </c>
      <c r="CP43">
        <f t="shared" si="30"/>
        <v>1154.73</v>
      </c>
      <c r="CQ43">
        <f t="shared" si="31"/>
        <v>78.03</v>
      </c>
      <c r="CR43">
        <f t="shared" si="32"/>
        <v>0</v>
      </c>
      <c r="CS43">
        <f t="shared" si="33"/>
        <v>0</v>
      </c>
      <c r="CT43">
        <f t="shared" si="34"/>
        <v>0</v>
      </c>
      <c r="CU43">
        <f t="shared" si="35"/>
        <v>0</v>
      </c>
      <c r="CV43">
        <f t="shared" si="36"/>
        <v>0</v>
      </c>
      <c r="CW43">
        <f t="shared" si="37"/>
        <v>0</v>
      </c>
      <c r="CX43">
        <f t="shared" si="38"/>
        <v>0</v>
      </c>
      <c r="CY43">
        <f t="shared" si="39"/>
        <v>0</v>
      </c>
      <c r="CZ43">
        <f t="shared" si="40"/>
        <v>0</v>
      </c>
      <c r="DN43">
        <v>91</v>
      </c>
      <c r="DO43">
        <v>70</v>
      </c>
      <c r="DP43">
        <v>1.047</v>
      </c>
      <c r="DQ43">
        <v>1</v>
      </c>
      <c r="DU43">
        <v>1005</v>
      </c>
      <c r="DV43" t="s">
        <v>43</v>
      </c>
      <c r="DW43" t="s">
        <v>43</v>
      </c>
      <c r="DX43">
        <v>1</v>
      </c>
      <c r="EE43">
        <v>16349945</v>
      </c>
      <c r="EF43">
        <v>30</v>
      </c>
      <c r="EG43" t="s">
        <v>37</v>
      </c>
      <c r="EH43">
        <v>0</v>
      </c>
      <c r="EJ43">
        <v>1</v>
      </c>
      <c r="EK43">
        <v>82</v>
      </c>
      <c r="EL43" t="s">
        <v>69</v>
      </c>
      <c r="EM43" t="s">
        <v>70</v>
      </c>
      <c r="EQ43">
        <v>0</v>
      </c>
      <c r="ER43">
        <v>34.68</v>
      </c>
      <c r="ES43">
        <v>34.68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0</v>
      </c>
      <c r="FQ43">
        <v>0</v>
      </c>
      <c r="FR43">
        <f t="shared" si="41"/>
        <v>0</v>
      </c>
      <c r="FS43">
        <v>0</v>
      </c>
      <c r="FX43">
        <v>0</v>
      </c>
      <c r="FY43">
        <v>0</v>
      </c>
      <c r="GG43">
        <v>2</v>
      </c>
      <c r="GH43">
        <v>1</v>
      </c>
      <c r="GI43">
        <v>2</v>
      </c>
      <c r="GJ43">
        <v>0</v>
      </c>
      <c r="GK43">
        <f>ROUND(R43*(R12)/100,2)</f>
        <v>0</v>
      </c>
      <c r="GL43">
        <f t="shared" si="42"/>
        <v>0</v>
      </c>
      <c r="GM43">
        <f t="shared" si="43"/>
        <v>1154.73</v>
      </c>
      <c r="GN43">
        <f t="shared" si="44"/>
        <v>1154.73</v>
      </c>
      <c r="GO43">
        <f t="shared" si="45"/>
        <v>0</v>
      </c>
      <c r="GP43">
        <f t="shared" si="46"/>
        <v>0</v>
      </c>
      <c r="GR43">
        <v>0</v>
      </c>
    </row>
    <row r="44" spans="1:200" ht="12.75">
      <c r="A44">
        <v>17</v>
      </c>
      <c r="B44">
        <v>1</v>
      </c>
      <c r="C44">
        <f>ROW(SmtRes!A38)</f>
        <v>38</v>
      </c>
      <c r="D44">
        <f>ROW(EtalonRes!A38)</f>
        <v>38</v>
      </c>
      <c r="E44" t="s">
        <v>97</v>
      </c>
      <c r="F44" t="s">
        <v>98</v>
      </c>
      <c r="G44" t="s">
        <v>99</v>
      </c>
      <c r="H44" t="s">
        <v>29</v>
      </c>
      <c r="I44">
        <v>0.122</v>
      </c>
      <c r="J44">
        <v>0</v>
      </c>
      <c r="O44">
        <f t="shared" si="15"/>
        <v>864.22</v>
      </c>
      <c r="P44">
        <f t="shared" si="16"/>
        <v>43.94</v>
      </c>
      <c r="Q44">
        <f t="shared" si="17"/>
        <v>0</v>
      </c>
      <c r="R44">
        <f t="shared" si="18"/>
        <v>0</v>
      </c>
      <c r="S44">
        <f t="shared" si="19"/>
        <v>820.28</v>
      </c>
      <c r="T44">
        <f t="shared" si="20"/>
        <v>0</v>
      </c>
      <c r="U44">
        <f t="shared" si="21"/>
        <v>5.0508</v>
      </c>
      <c r="V44">
        <f t="shared" si="22"/>
        <v>0</v>
      </c>
      <c r="W44">
        <f t="shared" si="23"/>
        <v>0</v>
      </c>
      <c r="X44">
        <f t="shared" si="24"/>
        <v>697.24</v>
      </c>
      <c r="Y44">
        <f t="shared" si="25"/>
        <v>360.92</v>
      </c>
      <c r="AA44">
        <v>16903935</v>
      </c>
      <c r="AB44">
        <f t="shared" si="26"/>
        <v>745.984</v>
      </c>
      <c r="AC44">
        <f t="shared" si="27"/>
        <v>259.12</v>
      </c>
      <c r="AD44">
        <f>ROUND(((((ET44*1.25))-((EU44*1.25)))+AE44),6)</f>
        <v>0</v>
      </c>
      <c r="AE44">
        <f>ROUND(((EU44*1.25)),6)</f>
        <v>0</v>
      </c>
      <c r="AF44">
        <f>ROUND(((EV44*1.15)),6)</f>
        <v>486.864</v>
      </c>
      <c r="AG44">
        <f t="shared" si="28"/>
        <v>0</v>
      </c>
      <c r="AH44">
        <f>((EW44*1.15))</f>
        <v>41.4</v>
      </c>
      <c r="AI44">
        <f>((EX44*1.25))</f>
        <v>0</v>
      </c>
      <c r="AJ44">
        <f t="shared" si="29"/>
        <v>0</v>
      </c>
      <c r="AK44">
        <v>682.48</v>
      </c>
      <c r="AL44">
        <v>259.12</v>
      </c>
      <c r="AM44">
        <v>0</v>
      </c>
      <c r="AN44">
        <v>0</v>
      </c>
      <c r="AO44">
        <v>423.36</v>
      </c>
      <c r="AP44">
        <v>0</v>
      </c>
      <c r="AQ44">
        <v>36</v>
      </c>
      <c r="AR44">
        <v>0</v>
      </c>
      <c r="AS44">
        <v>0</v>
      </c>
      <c r="AT44">
        <v>85</v>
      </c>
      <c r="AU44">
        <v>44</v>
      </c>
      <c r="AV44">
        <v>1</v>
      </c>
      <c r="AW44">
        <v>1</v>
      </c>
      <c r="AZ44">
        <v>1</v>
      </c>
      <c r="BA44">
        <v>13.81</v>
      </c>
      <c r="BB44">
        <v>1</v>
      </c>
      <c r="BC44">
        <v>1.39</v>
      </c>
      <c r="BH44">
        <v>0</v>
      </c>
      <c r="BI44">
        <v>1</v>
      </c>
      <c r="BJ44" t="s">
        <v>100</v>
      </c>
      <c r="BM44">
        <v>117</v>
      </c>
      <c r="BN44">
        <v>0</v>
      </c>
      <c r="BO44" t="s">
        <v>98</v>
      </c>
      <c r="BP44">
        <v>1</v>
      </c>
      <c r="BQ44">
        <v>30</v>
      </c>
      <c r="BS44">
        <v>13.81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85</v>
      </c>
      <c r="CA44">
        <v>44</v>
      </c>
      <c r="CF44">
        <v>0</v>
      </c>
      <c r="CG44">
        <v>0</v>
      </c>
      <c r="CM44">
        <v>0</v>
      </c>
      <c r="CO44">
        <v>0</v>
      </c>
      <c r="CP44">
        <f t="shared" si="30"/>
        <v>864.22</v>
      </c>
      <c r="CQ44">
        <f t="shared" si="31"/>
        <v>360.17679999999996</v>
      </c>
      <c r="CR44">
        <f t="shared" si="32"/>
        <v>0</v>
      </c>
      <c r="CS44">
        <f t="shared" si="33"/>
        <v>0</v>
      </c>
      <c r="CT44">
        <f t="shared" si="34"/>
        <v>6723.59184</v>
      </c>
      <c r="CU44">
        <f t="shared" si="35"/>
        <v>0</v>
      </c>
      <c r="CV44">
        <f t="shared" si="36"/>
        <v>41.4</v>
      </c>
      <c r="CW44">
        <f t="shared" si="37"/>
        <v>0</v>
      </c>
      <c r="CX44">
        <f t="shared" si="38"/>
        <v>0</v>
      </c>
      <c r="CY44">
        <f t="shared" si="39"/>
        <v>697.2379999999999</v>
      </c>
      <c r="CZ44">
        <f t="shared" si="40"/>
        <v>360.9232</v>
      </c>
      <c r="DE44" t="s">
        <v>31</v>
      </c>
      <c r="DF44" t="s">
        <v>31</v>
      </c>
      <c r="DG44" t="s">
        <v>32</v>
      </c>
      <c r="DI44" t="s">
        <v>32</v>
      </c>
      <c r="DJ44" t="s">
        <v>31</v>
      </c>
      <c r="DN44">
        <v>100</v>
      </c>
      <c r="DO44">
        <v>64</v>
      </c>
      <c r="DP44">
        <v>1.025</v>
      </c>
      <c r="DQ44">
        <v>1</v>
      </c>
      <c r="DU44">
        <v>1005</v>
      </c>
      <c r="DV44" t="s">
        <v>29</v>
      </c>
      <c r="DW44" t="s">
        <v>29</v>
      </c>
      <c r="DX44">
        <v>100</v>
      </c>
      <c r="EE44">
        <v>16349980</v>
      </c>
      <c r="EF44">
        <v>30</v>
      </c>
      <c r="EG44" t="s">
        <v>37</v>
      </c>
      <c r="EH44">
        <v>0</v>
      </c>
      <c r="EJ44">
        <v>1</v>
      </c>
      <c r="EK44">
        <v>117</v>
      </c>
      <c r="EL44" t="s">
        <v>101</v>
      </c>
      <c r="EM44" t="s">
        <v>102</v>
      </c>
      <c r="EQ44">
        <v>0</v>
      </c>
      <c r="ER44">
        <v>682.48</v>
      </c>
      <c r="ES44">
        <v>259.12</v>
      </c>
      <c r="ET44">
        <v>0</v>
      </c>
      <c r="EU44">
        <v>0</v>
      </c>
      <c r="EV44">
        <v>423.36</v>
      </c>
      <c r="EW44">
        <v>36</v>
      </c>
      <c r="EX44">
        <v>0</v>
      </c>
      <c r="EY44">
        <v>0</v>
      </c>
      <c r="EZ44">
        <v>0</v>
      </c>
      <c r="FQ44">
        <v>0</v>
      </c>
      <c r="FR44">
        <f t="shared" si="41"/>
        <v>0</v>
      </c>
      <c r="FS44">
        <v>0</v>
      </c>
      <c r="FX44">
        <v>85</v>
      </c>
      <c r="FY44">
        <v>44</v>
      </c>
      <c r="GG44">
        <v>2</v>
      </c>
      <c r="GH44">
        <v>1</v>
      </c>
      <c r="GI44">
        <v>2</v>
      </c>
      <c r="GJ44">
        <v>0</v>
      </c>
      <c r="GK44">
        <f>ROUND(R44*(R12)/100,2)</f>
        <v>0</v>
      </c>
      <c r="GL44">
        <f t="shared" si="42"/>
        <v>0</v>
      </c>
      <c r="GM44">
        <f t="shared" si="43"/>
        <v>1922.38</v>
      </c>
      <c r="GN44">
        <f t="shared" si="44"/>
        <v>1922.38</v>
      </c>
      <c r="GO44">
        <f t="shared" si="45"/>
        <v>0</v>
      </c>
      <c r="GP44">
        <f t="shared" si="46"/>
        <v>0</v>
      </c>
      <c r="GR44">
        <v>0</v>
      </c>
    </row>
    <row r="45" spans="1:200" ht="12.75">
      <c r="A45">
        <v>18</v>
      </c>
      <c r="B45">
        <v>1</v>
      </c>
      <c r="C45">
        <v>38</v>
      </c>
      <c r="E45" t="s">
        <v>103</v>
      </c>
      <c r="F45" t="s">
        <v>104</v>
      </c>
      <c r="G45" t="s">
        <v>105</v>
      </c>
      <c r="H45" t="s">
        <v>106</v>
      </c>
      <c r="I45">
        <f>I44*J45</f>
        <v>0.61</v>
      </c>
      <c r="J45">
        <v>5</v>
      </c>
      <c r="O45">
        <f t="shared" si="15"/>
        <v>8.17</v>
      </c>
      <c r="P45">
        <f t="shared" si="16"/>
        <v>8.17</v>
      </c>
      <c r="Q45">
        <f t="shared" si="17"/>
        <v>0</v>
      </c>
      <c r="R45">
        <f t="shared" si="18"/>
        <v>0</v>
      </c>
      <c r="S45">
        <f t="shared" si="19"/>
        <v>0</v>
      </c>
      <c r="T45">
        <f t="shared" si="20"/>
        <v>0</v>
      </c>
      <c r="U45">
        <f t="shared" si="21"/>
        <v>0</v>
      </c>
      <c r="V45">
        <f t="shared" si="22"/>
        <v>0</v>
      </c>
      <c r="W45">
        <f t="shared" si="23"/>
        <v>0</v>
      </c>
      <c r="X45">
        <f t="shared" si="24"/>
        <v>0</v>
      </c>
      <c r="Y45">
        <f t="shared" si="25"/>
        <v>0</v>
      </c>
      <c r="AA45">
        <v>16903935</v>
      </c>
      <c r="AB45">
        <f t="shared" si="26"/>
        <v>5.19</v>
      </c>
      <c r="AC45">
        <f t="shared" si="27"/>
        <v>5.19</v>
      </c>
      <c r="AD45">
        <f>ROUND((((ET45)-(EU45))+AE45),6)</f>
        <v>0</v>
      </c>
      <c r="AE45">
        <f>ROUND((EU45),6)</f>
        <v>0</v>
      </c>
      <c r="AF45">
        <f>ROUND((EV45),6)</f>
        <v>0</v>
      </c>
      <c r="AG45">
        <f t="shared" si="28"/>
        <v>0</v>
      </c>
      <c r="AH45">
        <f>(EW45)</f>
        <v>0</v>
      </c>
      <c r="AI45">
        <f>(EX45)</f>
        <v>0</v>
      </c>
      <c r="AJ45">
        <f t="shared" si="29"/>
        <v>0</v>
      </c>
      <c r="AK45">
        <v>5.19</v>
      </c>
      <c r="AL45">
        <v>5.19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2.58</v>
      </c>
      <c r="BH45">
        <v>3</v>
      </c>
      <c r="BI45">
        <v>1</v>
      </c>
      <c r="BJ45" t="s">
        <v>107</v>
      </c>
      <c r="BM45">
        <v>117</v>
      </c>
      <c r="BN45">
        <v>0</v>
      </c>
      <c r="BO45" t="s">
        <v>104</v>
      </c>
      <c r="BP45">
        <v>1</v>
      </c>
      <c r="BQ45">
        <v>30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0</v>
      </c>
      <c r="CA45">
        <v>0</v>
      </c>
      <c r="CF45">
        <v>0</v>
      </c>
      <c r="CG45">
        <v>0</v>
      </c>
      <c r="CM45">
        <v>0</v>
      </c>
      <c r="CO45">
        <v>0</v>
      </c>
      <c r="CP45">
        <f t="shared" si="30"/>
        <v>8.17</v>
      </c>
      <c r="CQ45">
        <f t="shared" si="31"/>
        <v>13.390200000000002</v>
      </c>
      <c r="CR45">
        <f t="shared" si="32"/>
        <v>0</v>
      </c>
      <c r="CS45">
        <f t="shared" si="33"/>
        <v>0</v>
      </c>
      <c r="CT45">
        <f t="shared" si="34"/>
        <v>0</v>
      </c>
      <c r="CU45">
        <f t="shared" si="35"/>
        <v>0</v>
      </c>
      <c r="CV45">
        <f t="shared" si="36"/>
        <v>0</v>
      </c>
      <c r="CW45">
        <f t="shared" si="37"/>
        <v>0</v>
      </c>
      <c r="CX45">
        <f t="shared" si="38"/>
        <v>0</v>
      </c>
      <c r="CY45">
        <f t="shared" si="39"/>
        <v>0</v>
      </c>
      <c r="CZ45">
        <f t="shared" si="40"/>
        <v>0</v>
      </c>
      <c r="DN45">
        <v>100</v>
      </c>
      <c r="DO45">
        <v>64</v>
      </c>
      <c r="DP45">
        <v>1.025</v>
      </c>
      <c r="DQ45">
        <v>1</v>
      </c>
      <c r="DU45">
        <v>1009</v>
      </c>
      <c r="DV45" t="s">
        <v>106</v>
      </c>
      <c r="DW45" t="s">
        <v>106</v>
      </c>
      <c r="DX45">
        <v>1</v>
      </c>
      <c r="EE45">
        <v>16349980</v>
      </c>
      <c r="EF45">
        <v>30</v>
      </c>
      <c r="EG45" t="s">
        <v>37</v>
      </c>
      <c r="EH45">
        <v>0</v>
      </c>
      <c r="EJ45">
        <v>1</v>
      </c>
      <c r="EK45">
        <v>117</v>
      </c>
      <c r="EL45" t="s">
        <v>101</v>
      </c>
      <c r="EM45" t="s">
        <v>102</v>
      </c>
      <c r="EQ45">
        <v>0</v>
      </c>
      <c r="ER45">
        <v>5.19</v>
      </c>
      <c r="ES45">
        <v>5.19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0</v>
      </c>
      <c r="FQ45">
        <v>0</v>
      </c>
      <c r="FR45">
        <f t="shared" si="41"/>
        <v>0</v>
      </c>
      <c r="FS45">
        <v>0</v>
      </c>
      <c r="FX45">
        <v>0</v>
      </c>
      <c r="FY45">
        <v>0</v>
      </c>
      <c r="GG45">
        <v>2</v>
      </c>
      <c r="GH45">
        <v>1</v>
      </c>
      <c r="GI45">
        <v>2</v>
      </c>
      <c r="GJ45">
        <v>0</v>
      </c>
      <c r="GK45">
        <f>ROUND(R45*(R12)/100,2)</f>
        <v>0</v>
      </c>
      <c r="GL45">
        <f t="shared" si="42"/>
        <v>0</v>
      </c>
      <c r="GM45">
        <f t="shared" si="43"/>
        <v>8.17</v>
      </c>
      <c r="GN45">
        <f t="shared" si="44"/>
        <v>8.17</v>
      </c>
      <c r="GO45">
        <f t="shared" si="45"/>
        <v>0</v>
      </c>
      <c r="GP45">
        <f t="shared" si="46"/>
        <v>0</v>
      </c>
      <c r="GR45">
        <v>0</v>
      </c>
    </row>
    <row r="46" spans="1:200" ht="12.75">
      <c r="A46">
        <v>17</v>
      </c>
      <c r="B46">
        <v>1</v>
      </c>
      <c r="C46">
        <f>ROW(SmtRes!A44)</f>
        <v>44</v>
      </c>
      <c r="D46">
        <f>ROW(EtalonRes!A44)</f>
        <v>44</v>
      </c>
      <c r="E46" t="s">
        <v>108</v>
      </c>
      <c r="F46" t="s">
        <v>109</v>
      </c>
      <c r="G46" t="s">
        <v>110</v>
      </c>
      <c r="H46" t="s">
        <v>29</v>
      </c>
      <c r="I46">
        <v>0.3514</v>
      </c>
      <c r="J46">
        <v>0</v>
      </c>
      <c r="O46">
        <f t="shared" si="15"/>
        <v>11795.57</v>
      </c>
      <c r="P46">
        <f t="shared" si="16"/>
        <v>56.45</v>
      </c>
      <c r="Q46">
        <f t="shared" si="17"/>
        <v>50.78</v>
      </c>
      <c r="R46">
        <f t="shared" si="18"/>
        <v>23.84</v>
      </c>
      <c r="S46">
        <f t="shared" si="19"/>
        <v>11688.34</v>
      </c>
      <c r="T46">
        <f t="shared" si="20"/>
        <v>0</v>
      </c>
      <c r="U46">
        <f t="shared" si="21"/>
        <v>71.12335999999999</v>
      </c>
      <c r="V46">
        <f t="shared" si="22"/>
        <v>0</v>
      </c>
      <c r="W46">
        <f t="shared" si="23"/>
        <v>0</v>
      </c>
      <c r="X46">
        <f t="shared" si="24"/>
        <v>9935.09</v>
      </c>
      <c r="Y46">
        <f t="shared" si="25"/>
        <v>5142.87</v>
      </c>
      <c r="AA46">
        <v>16903935</v>
      </c>
      <c r="AB46">
        <f t="shared" si="26"/>
        <v>2484.955</v>
      </c>
      <c r="AC46">
        <f t="shared" si="27"/>
        <v>51.82</v>
      </c>
      <c r="AD46">
        <f>ROUND(((((ET46*1.25))-((EU46*1.25)))+AE46),6)</f>
        <v>24.575</v>
      </c>
      <c r="AE46">
        <f>ROUND(((EU46*1.25)),6)</f>
        <v>4.9125</v>
      </c>
      <c r="AF46">
        <f>ROUND(((EV46*1.15)),6)</f>
        <v>2408.56</v>
      </c>
      <c r="AG46">
        <f t="shared" si="28"/>
        <v>0</v>
      </c>
      <c r="AH46">
        <f>((EW46*1.15))</f>
        <v>202.39999999999998</v>
      </c>
      <c r="AI46">
        <f>((EX46*1.25))</f>
        <v>0</v>
      </c>
      <c r="AJ46">
        <f t="shared" si="29"/>
        <v>0</v>
      </c>
      <c r="AK46">
        <v>2165.88</v>
      </c>
      <c r="AL46">
        <v>51.82</v>
      </c>
      <c r="AM46">
        <v>19.66</v>
      </c>
      <c r="AN46">
        <v>3.93</v>
      </c>
      <c r="AO46">
        <v>2094.4</v>
      </c>
      <c r="AP46">
        <v>0</v>
      </c>
      <c r="AQ46">
        <v>176</v>
      </c>
      <c r="AR46">
        <v>0</v>
      </c>
      <c r="AS46">
        <v>0</v>
      </c>
      <c r="AT46">
        <v>85</v>
      </c>
      <c r="AU46">
        <v>44</v>
      </c>
      <c r="AV46">
        <v>1</v>
      </c>
      <c r="AW46">
        <v>1</v>
      </c>
      <c r="AZ46">
        <v>1</v>
      </c>
      <c r="BA46">
        <v>13.81</v>
      </c>
      <c r="BB46">
        <v>5.88</v>
      </c>
      <c r="BC46">
        <v>3.1</v>
      </c>
      <c r="BH46">
        <v>0</v>
      </c>
      <c r="BI46">
        <v>1</v>
      </c>
      <c r="BJ46" t="s">
        <v>111</v>
      </c>
      <c r="BM46">
        <v>113</v>
      </c>
      <c r="BN46">
        <v>0</v>
      </c>
      <c r="BO46" t="s">
        <v>109</v>
      </c>
      <c r="BP46">
        <v>1</v>
      </c>
      <c r="BQ46">
        <v>30</v>
      </c>
      <c r="BS46">
        <v>13.81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85</v>
      </c>
      <c r="CA46">
        <v>44</v>
      </c>
      <c r="CF46">
        <v>0</v>
      </c>
      <c r="CG46">
        <v>0</v>
      </c>
      <c r="CM46">
        <v>0</v>
      </c>
      <c r="CO46">
        <v>0</v>
      </c>
      <c r="CP46">
        <f t="shared" si="30"/>
        <v>11795.57</v>
      </c>
      <c r="CQ46">
        <f t="shared" si="31"/>
        <v>160.642</v>
      </c>
      <c r="CR46">
        <f t="shared" si="32"/>
        <v>144.501</v>
      </c>
      <c r="CS46">
        <f t="shared" si="33"/>
        <v>67.841625</v>
      </c>
      <c r="CT46">
        <f t="shared" si="34"/>
        <v>33262.2136</v>
      </c>
      <c r="CU46">
        <f t="shared" si="35"/>
        <v>0</v>
      </c>
      <c r="CV46">
        <f t="shared" si="36"/>
        <v>202.39999999999998</v>
      </c>
      <c r="CW46">
        <f t="shared" si="37"/>
        <v>0</v>
      </c>
      <c r="CX46">
        <f t="shared" si="38"/>
        <v>0</v>
      </c>
      <c r="CY46">
        <f t="shared" si="39"/>
        <v>9935.089</v>
      </c>
      <c r="CZ46">
        <f t="shared" si="40"/>
        <v>5142.8696</v>
      </c>
      <c r="DE46" t="s">
        <v>31</v>
      </c>
      <c r="DF46" t="s">
        <v>31</v>
      </c>
      <c r="DG46" t="s">
        <v>32</v>
      </c>
      <c r="DI46" t="s">
        <v>32</v>
      </c>
      <c r="DJ46" t="s">
        <v>31</v>
      </c>
      <c r="DN46">
        <v>100</v>
      </c>
      <c r="DO46">
        <v>64</v>
      </c>
      <c r="DP46">
        <v>1.025</v>
      </c>
      <c r="DQ46">
        <v>1</v>
      </c>
      <c r="DU46">
        <v>1005</v>
      </c>
      <c r="DV46" t="s">
        <v>29</v>
      </c>
      <c r="DW46" t="s">
        <v>29</v>
      </c>
      <c r="DX46">
        <v>100</v>
      </c>
      <c r="EE46">
        <v>16349976</v>
      </c>
      <c r="EF46">
        <v>30</v>
      </c>
      <c r="EG46" t="s">
        <v>37</v>
      </c>
      <c r="EH46">
        <v>0</v>
      </c>
      <c r="EJ46">
        <v>1</v>
      </c>
      <c r="EK46">
        <v>113</v>
      </c>
      <c r="EL46" t="s">
        <v>112</v>
      </c>
      <c r="EM46" t="s">
        <v>113</v>
      </c>
      <c r="EQ46">
        <v>0</v>
      </c>
      <c r="ER46">
        <v>2165.88</v>
      </c>
      <c r="ES46">
        <v>51.82</v>
      </c>
      <c r="ET46">
        <v>19.66</v>
      </c>
      <c r="EU46">
        <v>3.93</v>
      </c>
      <c r="EV46">
        <v>2094.4</v>
      </c>
      <c r="EW46">
        <v>176</v>
      </c>
      <c r="EX46">
        <v>0</v>
      </c>
      <c r="EY46">
        <v>0</v>
      </c>
      <c r="EZ46">
        <v>0</v>
      </c>
      <c r="FQ46">
        <v>0</v>
      </c>
      <c r="FR46">
        <f t="shared" si="41"/>
        <v>0</v>
      </c>
      <c r="FS46">
        <v>0</v>
      </c>
      <c r="FX46">
        <v>85</v>
      </c>
      <c r="FY46">
        <v>44</v>
      </c>
      <c r="GG46">
        <v>2</v>
      </c>
      <c r="GH46">
        <v>1</v>
      </c>
      <c r="GI46">
        <v>2</v>
      </c>
      <c r="GJ46">
        <v>0</v>
      </c>
      <c r="GK46">
        <f>ROUND(R46*(R12)/100,2)</f>
        <v>40.29</v>
      </c>
      <c r="GL46">
        <f t="shared" si="42"/>
        <v>0</v>
      </c>
      <c r="GM46">
        <f t="shared" si="43"/>
        <v>26913.82</v>
      </c>
      <c r="GN46">
        <f t="shared" si="44"/>
        <v>26913.82</v>
      </c>
      <c r="GO46">
        <f t="shared" si="45"/>
        <v>0</v>
      </c>
      <c r="GP46">
        <f t="shared" si="46"/>
        <v>0</v>
      </c>
      <c r="GR46">
        <v>0</v>
      </c>
    </row>
    <row r="47" spans="1:200" ht="12.75">
      <c r="A47">
        <v>18</v>
      </c>
      <c r="B47">
        <v>1</v>
      </c>
      <c r="C47">
        <v>44</v>
      </c>
      <c r="E47" t="s">
        <v>114</v>
      </c>
      <c r="F47" t="s">
        <v>115</v>
      </c>
      <c r="G47" t="s">
        <v>116</v>
      </c>
      <c r="H47" t="s">
        <v>117</v>
      </c>
      <c r="I47">
        <f>I46*J47</f>
        <v>35.14</v>
      </c>
      <c r="J47">
        <v>100</v>
      </c>
      <c r="O47">
        <f t="shared" si="15"/>
        <v>1854.49</v>
      </c>
      <c r="P47">
        <f t="shared" si="16"/>
        <v>1854.49</v>
      </c>
      <c r="Q47">
        <f t="shared" si="17"/>
        <v>0</v>
      </c>
      <c r="R47">
        <f t="shared" si="18"/>
        <v>0</v>
      </c>
      <c r="S47">
        <f t="shared" si="19"/>
        <v>0</v>
      </c>
      <c r="T47">
        <f t="shared" si="20"/>
        <v>0</v>
      </c>
      <c r="U47">
        <f t="shared" si="21"/>
        <v>0</v>
      </c>
      <c r="V47">
        <f t="shared" si="22"/>
        <v>0</v>
      </c>
      <c r="W47">
        <f t="shared" si="23"/>
        <v>0</v>
      </c>
      <c r="X47">
        <f t="shared" si="24"/>
        <v>0</v>
      </c>
      <c r="Y47">
        <f t="shared" si="25"/>
        <v>0</v>
      </c>
      <c r="AA47">
        <v>16903935</v>
      </c>
      <c r="AB47">
        <f t="shared" si="26"/>
        <v>21.28</v>
      </c>
      <c r="AC47">
        <f t="shared" si="27"/>
        <v>21.28</v>
      </c>
      <c r="AD47">
        <f>ROUND((((ET47)-(EU47))+AE47),6)</f>
        <v>0</v>
      </c>
      <c r="AE47">
        <f aca="true" t="shared" si="49" ref="AE47:AF49">ROUND((EU47),6)</f>
        <v>0</v>
      </c>
      <c r="AF47">
        <f t="shared" si="49"/>
        <v>0</v>
      </c>
      <c r="AG47">
        <f t="shared" si="28"/>
        <v>0</v>
      </c>
      <c r="AH47">
        <f aca="true" t="shared" si="50" ref="AH47:AI49">(EW47)</f>
        <v>0</v>
      </c>
      <c r="AI47">
        <f t="shared" si="50"/>
        <v>0</v>
      </c>
      <c r="AJ47">
        <f t="shared" si="29"/>
        <v>0</v>
      </c>
      <c r="AK47">
        <v>21.28</v>
      </c>
      <c r="AL47">
        <v>21.28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2.48</v>
      </c>
      <c r="BH47">
        <v>3</v>
      </c>
      <c r="BI47">
        <v>1</v>
      </c>
      <c r="BJ47" t="s">
        <v>118</v>
      </c>
      <c r="BM47">
        <v>113</v>
      </c>
      <c r="BN47">
        <v>0</v>
      </c>
      <c r="BO47" t="s">
        <v>115</v>
      </c>
      <c r="BP47">
        <v>1</v>
      </c>
      <c r="BQ47">
        <v>30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0</v>
      </c>
      <c r="CA47">
        <v>0</v>
      </c>
      <c r="CF47">
        <v>0</v>
      </c>
      <c r="CG47">
        <v>0</v>
      </c>
      <c r="CM47">
        <v>0</v>
      </c>
      <c r="CO47">
        <v>0</v>
      </c>
      <c r="CP47">
        <f t="shared" si="30"/>
        <v>1854.49</v>
      </c>
      <c r="CQ47">
        <f t="shared" si="31"/>
        <v>52.7744</v>
      </c>
      <c r="CR47">
        <f t="shared" si="32"/>
        <v>0</v>
      </c>
      <c r="CS47">
        <f t="shared" si="33"/>
        <v>0</v>
      </c>
      <c r="CT47">
        <f t="shared" si="34"/>
        <v>0</v>
      </c>
      <c r="CU47">
        <f t="shared" si="35"/>
        <v>0</v>
      </c>
      <c r="CV47">
        <f t="shared" si="36"/>
        <v>0</v>
      </c>
      <c r="CW47">
        <f t="shared" si="37"/>
        <v>0</v>
      </c>
      <c r="CX47">
        <f t="shared" si="38"/>
        <v>0</v>
      </c>
      <c r="CY47">
        <f t="shared" si="39"/>
        <v>0</v>
      </c>
      <c r="CZ47">
        <f t="shared" si="40"/>
        <v>0</v>
      </c>
      <c r="DN47">
        <v>100</v>
      </c>
      <c r="DO47">
        <v>64</v>
      </c>
      <c r="DP47">
        <v>1.025</v>
      </c>
      <c r="DQ47">
        <v>1</v>
      </c>
      <c r="DU47">
        <v>1013</v>
      </c>
      <c r="DV47" t="s">
        <v>117</v>
      </c>
      <c r="DW47" t="s">
        <v>117</v>
      </c>
      <c r="DX47">
        <v>1</v>
      </c>
      <c r="EE47">
        <v>16349976</v>
      </c>
      <c r="EF47">
        <v>30</v>
      </c>
      <c r="EG47" t="s">
        <v>37</v>
      </c>
      <c r="EH47">
        <v>0</v>
      </c>
      <c r="EJ47">
        <v>1</v>
      </c>
      <c r="EK47">
        <v>113</v>
      </c>
      <c r="EL47" t="s">
        <v>112</v>
      </c>
      <c r="EM47" t="s">
        <v>113</v>
      </c>
      <c r="EQ47">
        <v>0</v>
      </c>
      <c r="ER47">
        <v>21.28</v>
      </c>
      <c r="ES47">
        <v>21.28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0</v>
      </c>
      <c r="FQ47">
        <v>0</v>
      </c>
      <c r="FR47">
        <f t="shared" si="41"/>
        <v>0</v>
      </c>
      <c r="FS47">
        <v>0</v>
      </c>
      <c r="FX47">
        <v>0</v>
      </c>
      <c r="FY47">
        <v>0</v>
      </c>
      <c r="GG47">
        <v>2</v>
      </c>
      <c r="GH47">
        <v>1</v>
      </c>
      <c r="GI47">
        <v>2</v>
      </c>
      <c r="GJ47">
        <v>0</v>
      </c>
      <c r="GK47">
        <f>ROUND(R47*(R12)/100,2)</f>
        <v>0</v>
      </c>
      <c r="GL47">
        <f t="shared" si="42"/>
        <v>0</v>
      </c>
      <c r="GM47">
        <f t="shared" si="43"/>
        <v>1854.49</v>
      </c>
      <c r="GN47">
        <f t="shared" si="44"/>
        <v>1854.49</v>
      </c>
      <c r="GO47">
        <f t="shared" si="45"/>
        <v>0</v>
      </c>
      <c r="GP47">
        <f t="shared" si="46"/>
        <v>0</v>
      </c>
      <c r="GR47">
        <v>0</v>
      </c>
    </row>
    <row r="48" spans="1:200" ht="12.75">
      <c r="A48">
        <v>18</v>
      </c>
      <c r="B48">
        <v>1</v>
      </c>
      <c r="C48">
        <v>43</v>
      </c>
      <c r="E48" t="s">
        <v>119</v>
      </c>
      <c r="F48" t="s">
        <v>120</v>
      </c>
      <c r="G48" t="s">
        <v>121</v>
      </c>
      <c r="H48" t="s">
        <v>43</v>
      </c>
      <c r="I48">
        <f>I46*J48</f>
        <v>35.14</v>
      </c>
      <c r="J48">
        <v>100</v>
      </c>
      <c r="O48">
        <f t="shared" si="15"/>
        <v>5219.16</v>
      </c>
      <c r="P48">
        <f t="shared" si="16"/>
        <v>5219.16</v>
      </c>
      <c r="Q48">
        <f t="shared" si="17"/>
        <v>0</v>
      </c>
      <c r="R48">
        <f t="shared" si="18"/>
        <v>0</v>
      </c>
      <c r="S48">
        <f t="shared" si="19"/>
        <v>0</v>
      </c>
      <c r="T48">
        <f t="shared" si="20"/>
        <v>0</v>
      </c>
      <c r="U48">
        <f t="shared" si="21"/>
        <v>0</v>
      </c>
      <c r="V48">
        <f t="shared" si="22"/>
        <v>0</v>
      </c>
      <c r="W48">
        <f t="shared" si="23"/>
        <v>0</v>
      </c>
      <c r="X48">
        <f t="shared" si="24"/>
        <v>0</v>
      </c>
      <c r="Y48">
        <f t="shared" si="25"/>
        <v>0</v>
      </c>
      <c r="AA48">
        <v>16903935</v>
      </c>
      <c r="AB48">
        <f t="shared" si="26"/>
        <v>40.36</v>
      </c>
      <c r="AC48">
        <f t="shared" si="27"/>
        <v>40.36</v>
      </c>
      <c r="AD48">
        <f>ROUND((((ET48)-(EU48))+AE48),6)</f>
        <v>0</v>
      </c>
      <c r="AE48">
        <f t="shared" si="49"/>
        <v>0</v>
      </c>
      <c r="AF48">
        <f t="shared" si="49"/>
        <v>0</v>
      </c>
      <c r="AG48">
        <f t="shared" si="28"/>
        <v>0</v>
      </c>
      <c r="AH48">
        <f t="shared" si="50"/>
        <v>0</v>
      </c>
      <c r="AI48">
        <f t="shared" si="50"/>
        <v>0</v>
      </c>
      <c r="AJ48">
        <f t="shared" si="29"/>
        <v>0</v>
      </c>
      <c r="AK48">
        <v>40.36</v>
      </c>
      <c r="AL48">
        <v>40.36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3.68</v>
      </c>
      <c r="BH48">
        <v>3</v>
      </c>
      <c r="BI48">
        <v>1</v>
      </c>
      <c r="BJ48" t="s">
        <v>122</v>
      </c>
      <c r="BM48">
        <v>113</v>
      </c>
      <c r="BN48">
        <v>0</v>
      </c>
      <c r="BO48" t="s">
        <v>120</v>
      </c>
      <c r="BP48">
        <v>1</v>
      </c>
      <c r="BQ48">
        <v>30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0</v>
      </c>
      <c r="CA48">
        <v>0</v>
      </c>
      <c r="CF48">
        <v>0</v>
      </c>
      <c r="CG48">
        <v>0</v>
      </c>
      <c r="CM48">
        <v>0</v>
      </c>
      <c r="CO48">
        <v>0</v>
      </c>
      <c r="CP48">
        <f t="shared" si="30"/>
        <v>5219.16</v>
      </c>
      <c r="CQ48">
        <f t="shared" si="31"/>
        <v>148.5248</v>
      </c>
      <c r="CR48">
        <f t="shared" si="32"/>
        <v>0</v>
      </c>
      <c r="CS48">
        <f t="shared" si="33"/>
        <v>0</v>
      </c>
      <c r="CT48">
        <f t="shared" si="34"/>
        <v>0</v>
      </c>
      <c r="CU48">
        <f t="shared" si="35"/>
        <v>0</v>
      </c>
      <c r="CV48">
        <f t="shared" si="36"/>
        <v>0</v>
      </c>
      <c r="CW48">
        <f t="shared" si="37"/>
        <v>0</v>
      </c>
      <c r="CX48">
        <f t="shared" si="38"/>
        <v>0</v>
      </c>
      <c r="CY48">
        <f t="shared" si="39"/>
        <v>0</v>
      </c>
      <c r="CZ48">
        <f t="shared" si="40"/>
        <v>0</v>
      </c>
      <c r="DN48">
        <v>100</v>
      </c>
      <c r="DO48">
        <v>64</v>
      </c>
      <c r="DP48">
        <v>1.025</v>
      </c>
      <c r="DQ48">
        <v>1</v>
      </c>
      <c r="DU48">
        <v>1005</v>
      </c>
      <c r="DV48" t="s">
        <v>43</v>
      </c>
      <c r="DW48" t="s">
        <v>43</v>
      </c>
      <c r="DX48">
        <v>1</v>
      </c>
      <c r="EE48">
        <v>16349976</v>
      </c>
      <c r="EF48">
        <v>30</v>
      </c>
      <c r="EG48" t="s">
        <v>37</v>
      </c>
      <c r="EH48">
        <v>0</v>
      </c>
      <c r="EJ48">
        <v>1</v>
      </c>
      <c r="EK48">
        <v>113</v>
      </c>
      <c r="EL48" t="s">
        <v>112</v>
      </c>
      <c r="EM48" t="s">
        <v>113</v>
      </c>
      <c r="EQ48">
        <v>0</v>
      </c>
      <c r="ER48">
        <v>40.36</v>
      </c>
      <c r="ES48">
        <v>40.36</v>
      </c>
      <c r="ET48">
        <v>0</v>
      </c>
      <c r="EU48">
        <v>0</v>
      </c>
      <c r="EV48">
        <v>0</v>
      </c>
      <c r="EW48">
        <v>0</v>
      </c>
      <c r="EX48">
        <v>0</v>
      </c>
      <c r="EZ48">
        <v>0</v>
      </c>
      <c r="FQ48">
        <v>0</v>
      </c>
      <c r="FR48">
        <f t="shared" si="41"/>
        <v>0</v>
      </c>
      <c r="FS48">
        <v>0</v>
      </c>
      <c r="FX48">
        <v>0</v>
      </c>
      <c r="FY48">
        <v>0</v>
      </c>
      <c r="GG48">
        <v>2</v>
      </c>
      <c r="GH48">
        <v>1</v>
      </c>
      <c r="GI48">
        <v>2</v>
      </c>
      <c r="GJ48">
        <v>0</v>
      </c>
      <c r="GK48">
        <f>ROUND(R48*(R12)/100,2)</f>
        <v>0</v>
      </c>
      <c r="GL48">
        <f t="shared" si="42"/>
        <v>0</v>
      </c>
      <c r="GM48">
        <f t="shared" si="43"/>
        <v>5219.16</v>
      </c>
      <c r="GN48">
        <f t="shared" si="44"/>
        <v>5219.16</v>
      </c>
      <c r="GO48">
        <f t="shared" si="45"/>
        <v>0</v>
      </c>
      <c r="GP48">
        <f t="shared" si="46"/>
        <v>0</v>
      </c>
      <c r="GR48">
        <v>0</v>
      </c>
    </row>
    <row r="49" spans="1:200" ht="12.75">
      <c r="A49">
        <v>17</v>
      </c>
      <c r="B49">
        <v>1</v>
      </c>
      <c r="C49">
        <f>ROW(SmtRes!A45)</f>
        <v>45</v>
      </c>
      <c r="D49">
        <f>ROW(EtalonRes!A45)</f>
        <v>45</v>
      </c>
      <c r="E49" t="s">
        <v>123</v>
      </c>
      <c r="F49" t="s">
        <v>124</v>
      </c>
      <c r="G49" t="s">
        <v>125</v>
      </c>
      <c r="H49" t="s">
        <v>43</v>
      </c>
      <c r="I49">
        <v>357.6</v>
      </c>
      <c r="J49">
        <v>0</v>
      </c>
      <c r="O49">
        <f t="shared" si="15"/>
        <v>30272.74</v>
      </c>
      <c r="P49">
        <f t="shared" si="16"/>
        <v>0</v>
      </c>
      <c r="Q49">
        <f t="shared" si="17"/>
        <v>0</v>
      </c>
      <c r="R49">
        <f t="shared" si="18"/>
        <v>0</v>
      </c>
      <c r="S49">
        <f t="shared" si="19"/>
        <v>30272.74</v>
      </c>
      <c r="T49">
        <f t="shared" si="20"/>
        <v>0</v>
      </c>
      <c r="U49">
        <f t="shared" si="21"/>
        <v>214.56</v>
      </c>
      <c r="V49">
        <f t="shared" si="22"/>
        <v>0</v>
      </c>
      <c r="W49">
        <f t="shared" si="23"/>
        <v>0</v>
      </c>
      <c r="X49">
        <f t="shared" si="24"/>
        <v>25731.83</v>
      </c>
      <c r="Y49">
        <f t="shared" si="25"/>
        <v>13320.01</v>
      </c>
      <c r="AA49">
        <v>16903935</v>
      </c>
      <c r="AB49">
        <f t="shared" si="26"/>
        <v>6.13</v>
      </c>
      <c r="AC49">
        <f t="shared" si="27"/>
        <v>0</v>
      </c>
      <c r="AD49">
        <f>ROUND((((ET49)-(EU49))+AE49),6)</f>
        <v>0</v>
      </c>
      <c r="AE49">
        <f t="shared" si="49"/>
        <v>0</v>
      </c>
      <c r="AF49">
        <f t="shared" si="49"/>
        <v>6.13</v>
      </c>
      <c r="AG49">
        <f t="shared" si="28"/>
        <v>0</v>
      </c>
      <c r="AH49">
        <f t="shared" si="50"/>
        <v>0.6</v>
      </c>
      <c r="AI49">
        <f t="shared" si="50"/>
        <v>0</v>
      </c>
      <c r="AJ49">
        <f t="shared" si="29"/>
        <v>0</v>
      </c>
      <c r="AK49">
        <v>6.13</v>
      </c>
      <c r="AL49">
        <v>0</v>
      </c>
      <c r="AM49">
        <v>0</v>
      </c>
      <c r="AN49">
        <v>0</v>
      </c>
      <c r="AO49">
        <v>6.13</v>
      </c>
      <c r="AP49">
        <v>0</v>
      </c>
      <c r="AQ49">
        <v>0.6</v>
      </c>
      <c r="AR49">
        <v>0</v>
      </c>
      <c r="AS49">
        <v>0</v>
      </c>
      <c r="AT49">
        <v>85</v>
      </c>
      <c r="AU49">
        <v>44</v>
      </c>
      <c r="AV49">
        <v>1</v>
      </c>
      <c r="AW49">
        <v>1</v>
      </c>
      <c r="AZ49">
        <v>1</v>
      </c>
      <c r="BA49">
        <v>13.81</v>
      </c>
      <c r="BB49">
        <v>1</v>
      </c>
      <c r="BC49">
        <v>1</v>
      </c>
      <c r="BH49">
        <v>0</v>
      </c>
      <c r="BI49">
        <v>1</v>
      </c>
      <c r="BJ49" t="s">
        <v>126</v>
      </c>
      <c r="BM49">
        <v>478</v>
      </c>
      <c r="BN49">
        <v>0</v>
      </c>
      <c r="BO49" t="s">
        <v>124</v>
      </c>
      <c r="BP49">
        <v>1</v>
      </c>
      <c r="BQ49">
        <v>60</v>
      </c>
      <c r="BS49">
        <v>13.81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85</v>
      </c>
      <c r="CA49">
        <v>44</v>
      </c>
      <c r="CF49">
        <v>0</v>
      </c>
      <c r="CG49">
        <v>0</v>
      </c>
      <c r="CM49">
        <v>0</v>
      </c>
      <c r="CO49">
        <v>0</v>
      </c>
      <c r="CP49">
        <f t="shared" si="30"/>
        <v>30272.74</v>
      </c>
      <c r="CQ49">
        <f t="shared" si="31"/>
        <v>0</v>
      </c>
      <c r="CR49">
        <f t="shared" si="32"/>
        <v>0</v>
      </c>
      <c r="CS49">
        <f t="shared" si="33"/>
        <v>0</v>
      </c>
      <c r="CT49">
        <f t="shared" si="34"/>
        <v>84.6553</v>
      </c>
      <c r="CU49">
        <f t="shared" si="35"/>
        <v>0</v>
      </c>
      <c r="CV49">
        <f t="shared" si="36"/>
        <v>0.6</v>
      </c>
      <c r="CW49">
        <f t="shared" si="37"/>
        <v>0</v>
      </c>
      <c r="CX49">
        <f t="shared" si="38"/>
        <v>0</v>
      </c>
      <c r="CY49">
        <f t="shared" si="39"/>
        <v>25731.829</v>
      </c>
      <c r="CZ49">
        <f t="shared" si="40"/>
        <v>13320.0056</v>
      </c>
      <c r="DN49">
        <v>100</v>
      </c>
      <c r="DO49">
        <v>64</v>
      </c>
      <c r="DP49">
        <v>1.025</v>
      </c>
      <c r="DQ49">
        <v>1</v>
      </c>
      <c r="DU49">
        <v>1005</v>
      </c>
      <c r="DV49" t="s">
        <v>43</v>
      </c>
      <c r="DW49" t="s">
        <v>43</v>
      </c>
      <c r="DX49">
        <v>1</v>
      </c>
      <c r="EE49">
        <v>16350341</v>
      </c>
      <c r="EF49">
        <v>60</v>
      </c>
      <c r="EG49" t="s">
        <v>23</v>
      </c>
      <c r="EH49">
        <v>0</v>
      </c>
      <c r="EJ49">
        <v>1</v>
      </c>
      <c r="EK49">
        <v>478</v>
      </c>
      <c r="EL49" t="s">
        <v>127</v>
      </c>
      <c r="EM49" t="s">
        <v>128</v>
      </c>
      <c r="EQ49">
        <v>0</v>
      </c>
      <c r="ER49">
        <v>6.13</v>
      </c>
      <c r="ES49">
        <v>0</v>
      </c>
      <c r="ET49">
        <v>0</v>
      </c>
      <c r="EU49">
        <v>0</v>
      </c>
      <c r="EV49">
        <v>6.13</v>
      </c>
      <c r="EW49">
        <v>0.6</v>
      </c>
      <c r="EX49">
        <v>0</v>
      </c>
      <c r="EY49">
        <v>0</v>
      </c>
      <c r="EZ49">
        <v>0</v>
      </c>
      <c r="FQ49">
        <v>0</v>
      </c>
      <c r="FR49">
        <f t="shared" si="41"/>
        <v>0</v>
      </c>
      <c r="FS49">
        <v>0</v>
      </c>
      <c r="FX49">
        <v>85</v>
      </c>
      <c r="FY49">
        <v>44</v>
      </c>
      <c r="GG49">
        <v>2</v>
      </c>
      <c r="GH49">
        <v>1</v>
      </c>
      <c r="GI49">
        <v>2</v>
      </c>
      <c r="GJ49">
        <v>0</v>
      </c>
      <c r="GK49">
        <f>ROUND(R49*(R12)/100,2)</f>
        <v>0</v>
      </c>
      <c r="GL49">
        <f t="shared" si="42"/>
        <v>0</v>
      </c>
      <c r="GM49">
        <f t="shared" si="43"/>
        <v>69324.58</v>
      </c>
      <c r="GN49">
        <f t="shared" si="44"/>
        <v>69324.58</v>
      </c>
      <c r="GO49">
        <f t="shared" si="45"/>
        <v>0</v>
      </c>
      <c r="GP49">
        <f t="shared" si="46"/>
        <v>0</v>
      </c>
      <c r="GR49">
        <v>0</v>
      </c>
    </row>
    <row r="50" spans="1:200" ht="12.75">
      <c r="A50">
        <v>17</v>
      </c>
      <c r="B50">
        <v>1</v>
      </c>
      <c r="C50">
        <f>ROW(SmtRes!A49)</f>
        <v>49</v>
      </c>
      <c r="D50">
        <f>ROW(EtalonRes!A49)</f>
        <v>49</v>
      </c>
      <c r="E50" t="s">
        <v>129</v>
      </c>
      <c r="F50" t="s">
        <v>130</v>
      </c>
      <c r="G50" t="s">
        <v>131</v>
      </c>
      <c r="H50" t="s">
        <v>29</v>
      </c>
      <c r="I50">
        <v>3.987</v>
      </c>
      <c r="J50">
        <v>0</v>
      </c>
      <c r="O50">
        <f t="shared" si="15"/>
        <v>3321.73</v>
      </c>
      <c r="P50">
        <f t="shared" si="16"/>
        <v>0</v>
      </c>
      <c r="Q50">
        <f t="shared" si="17"/>
        <v>30.38</v>
      </c>
      <c r="R50">
        <f t="shared" si="18"/>
        <v>12.39</v>
      </c>
      <c r="S50">
        <f t="shared" si="19"/>
        <v>3291.35</v>
      </c>
      <c r="T50">
        <f t="shared" si="20"/>
        <v>0</v>
      </c>
      <c r="U50">
        <f t="shared" si="21"/>
        <v>21.3204825</v>
      </c>
      <c r="V50">
        <f t="shared" si="22"/>
        <v>0</v>
      </c>
      <c r="W50">
        <f t="shared" si="23"/>
        <v>0</v>
      </c>
      <c r="X50">
        <f t="shared" si="24"/>
        <v>2797.65</v>
      </c>
      <c r="Y50">
        <f t="shared" si="25"/>
        <v>1448.19</v>
      </c>
      <c r="AA50">
        <v>16903935</v>
      </c>
      <c r="AB50">
        <f t="shared" si="26"/>
        <v>60.777</v>
      </c>
      <c r="AC50">
        <f t="shared" si="27"/>
        <v>0</v>
      </c>
      <c r="AD50">
        <f>ROUND(((((ET50*1.25))-((EU50*1.25)))+AE50),6)</f>
        <v>1</v>
      </c>
      <c r="AE50">
        <f>ROUND(((EU50*1.25)),6)</f>
        <v>0.225</v>
      </c>
      <c r="AF50">
        <f>ROUND(((EV50*1.15)),6)</f>
        <v>59.777</v>
      </c>
      <c r="AG50">
        <f t="shared" si="28"/>
        <v>0</v>
      </c>
      <c r="AH50">
        <f>((EW50*1.15))</f>
        <v>5.3475</v>
      </c>
      <c r="AI50">
        <f>((EX50*1.25))</f>
        <v>0</v>
      </c>
      <c r="AJ50">
        <f t="shared" si="29"/>
        <v>0</v>
      </c>
      <c r="AK50">
        <v>52.78</v>
      </c>
      <c r="AL50">
        <v>0</v>
      </c>
      <c r="AM50">
        <v>0.8</v>
      </c>
      <c r="AN50">
        <v>0.18</v>
      </c>
      <c r="AO50">
        <v>51.98</v>
      </c>
      <c r="AP50">
        <v>0</v>
      </c>
      <c r="AQ50">
        <v>4.65</v>
      </c>
      <c r="AR50">
        <v>0</v>
      </c>
      <c r="AS50">
        <v>0</v>
      </c>
      <c r="AT50">
        <v>85</v>
      </c>
      <c r="AU50">
        <v>44</v>
      </c>
      <c r="AV50">
        <v>1</v>
      </c>
      <c r="AW50">
        <v>1</v>
      </c>
      <c r="AZ50">
        <v>1</v>
      </c>
      <c r="BA50">
        <v>13.81</v>
      </c>
      <c r="BB50">
        <v>7.62</v>
      </c>
      <c r="BC50">
        <v>1</v>
      </c>
      <c r="BH50">
        <v>0</v>
      </c>
      <c r="BI50">
        <v>1</v>
      </c>
      <c r="BJ50" t="s">
        <v>132</v>
      </c>
      <c r="BM50">
        <v>1523</v>
      </c>
      <c r="BN50">
        <v>0</v>
      </c>
      <c r="BO50" t="s">
        <v>130</v>
      </c>
      <c r="BP50">
        <v>1</v>
      </c>
      <c r="BQ50">
        <v>30</v>
      </c>
      <c r="BS50">
        <v>13.81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85</v>
      </c>
      <c r="CA50">
        <v>44</v>
      </c>
      <c r="CF50">
        <v>0</v>
      </c>
      <c r="CG50">
        <v>0</v>
      </c>
      <c r="CM50">
        <v>0</v>
      </c>
      <c r="CO50">
        <v>0</v>
      </c>
      <c r="CP50">
        <f t="shared" si="30"/>
        <v>3321.73</v>
      </c>
      <c r="CQ50">
        <f t="shared" si="31"/>
        <v>0</v>
      </c>
      <c r="CR50">
        <f t="shared" si="32"/>
        <v>7.62</v>
      </c>
      <c r="CS50">
        <f t="shared" si="33"/>
        <v>3.10725</v>
      </c>
      <c r="CT50">
        <f t="shared" si="34"/>
        <v>825.5203700000001</v>
      </c>
      <c r="CU50">
        <f t="shared" si="35"/>
        <v>0</v>
      </c>
      <c r="CV50">
        <f t="shared" si="36"/>
        <v>5.3475</v>
      </c>
      <c r="CW50">
        <f t="shared" si="37"/>
        <v>0</v>
      </c>
      <c r="CX50">
        <f t="shared" si="38"/>
        <v>0</v>
      </c>
      <c r="CY50">
        <f t="shared" si="39"/>
        <v>2797.6475</v>
      </c>
      <c r="CZ50">
        <f t="shared" si="40"/>
        <v>1448.194</v>
      </c>
      <c r="DE50" t="s">
        <v>31</v>
      </c>
      <c r="DF50" t="s">
        <v>31</v>
      </c>
      <c r="DG50" t="s">
        <v>32</v>
      </c>
      <c r="DI50" t="s">
        <v>32</v>
      </c>
      <c r="DJ50" t="s">
        <v>31</v>
      </c>
      <c r="DN50">
        <v>100</v>
      </c>
      <c r="DO50">
        <v>64</v>
      </c>
      <c r="DP50">
        <v>1.025</v>
      </c>
      <c r="DQ50">
        <v>1</v>
      </c>
      <c r="DU50">
        <v>1005</v>
      </c>
      <c r="DV50" t="s">
        <v>29</v>
      </c>
      <c r="DW50" t="s">
        <v>29</v>
      </c>
      <c r="DX50">
        <v>100</v>
      </c>
      <c r="EE50">
        <v>16351386</v>
      </c>
      <c r="EF50">
        <v>30</v>
      </c>
      <c r="EG50" t="s">
        <v>37</v>
      </c>
      <c r="EH50">
        <v>0</v>
      </c>
      <c r="EJ50">
        <v>1</v>
      </c>
      <c r="EK50">
        <v>1523</v>
      </c>
      <c r="EL50" t="s">
        <v>133</v>
      </c>
      <c r="EM50" t="s">
        <v>134</v>
      </c>
      <c r="EQ50">
        <v>0</v>
      </c>
      <c r="ER50">
        <v>52.78</v>
      </c>
      <c r="ES50">
        <v>0</v>
      </c>
      <c r="ET50">
        <v>0.8</v>
      </c>
      <c r="EU50">
        <v>0.18</v>
      </c>
      <c r="EV50">
        <v>51.98</v>
      </c>
      <c r="EW50">
        <v>4.65</v>
      </c>
      <c r="EX50">
        <v>0</v>
      </c>
      <c r="EY50">
        <v>0</v>
      </c>
      <c r="EZ50">
        <v>0</v>
      </c>
      <c r="FQ50">
        <v>0</v>
      </c>
      <c r="FR50">
        <f t="shared" si="41"/>
        <v>0</v>
      </c>
      <c r="FS50">
        <v>0</v>
      </c>
      <c r="FX50">
        <v>85</v>
      </c>
      <c r="FY50">
        <v>44</v>
      </c>
      <c r="GG50">
        <v>2</v>
      </c>
      <c r="GH50">
        <v>1</v>
      </c>
      <c r="GI50">
        <v>2</v>
      </c>
      <c r="GJ50">
        <v>0</v>
      </c>
      <c r="GK50">
        <f>ROUND(R50*(R12)/100,2)</f>
        <v>20.94</v>
      </c>
      <c r="GL50">
        <f t="shared" si="42"/>
        <v>0</v>
      </c>
      <c r="GM50">
        <f t="shared" si="43"/>
        <v>7588.509999999999</v>
      </c>
      <c r="GN50">
        <f t="shared" si="44"/>
        <v>7588.51</v>
      </c>
      <c r="GO50">
        <f t="shared" si="45"/>
        <v>0</v>
      </c>
      <c r="GP50">
        <f t="shared" si="46"/>
        <v>0</v>
      </c>
      <c r="GR50">
        <v>0</v>
      </c>
    </row>
    <row r="51" spans="1:200" ht="12.75">
      <c r="A51">
        <v>18</v>
      </c>
      <c r="B51">
        <v>1</v>
      </c>
      <c r="C51">
        <v>49</v>
      </c>
      <c r="E51" t="s">
        <v>135</v>
      </c>
      <c r="F51" t="s">
        <v>136</v>
      </c>
      <c r="G51" t="s">
        <v>137</v>
      </c>
      <c r="H51" t="s">
        <v>106</v>
      </c>
      <c r="I51">
        <f>I50*J51</f>
        <v>41.066100000000006</v>
      </c>
      <c r="J51">
        <v>10.3</v>
      </c>
      <c r="O51">
        <f t="shared" si="15"/>
        <v>12851.48</v>
      </c>
      <c r="P51">
        <f t="shared" si="16"/>
        <v>12851.48</v>
      </c>
      <c r="Q51">
        <f t="shared" si="17"/>
        <v>0</v>
      </c>
      <c r="R51">
        <f t="shared" si="18"/>
        <v>0</v>
      </c>
      <c r="S51">
        <f t="shared" si="19"/>
        <v>0</v>
      </c>
      <c r="T51">
        <f t="shared" si="20"/>
        <v>0</v>
      </c>
      <c r="U51">
        <f t="shared" si="21"/>
        <v>0</v>
      </c>
      <c r="V51">
        <f t="shared" si="22"/>
        <v>0</v>
      </c>
      <c r="W51">
        <f t="shared" si="23"/>
        <v>0</v>
      </c>
      <c r="X51">
        <f t="shared" si="24"/>
        <v>0</v>
      </c>
      <c r="Y51">
        <f t="shared" si="25"/>
        <v>0</v>
      </c>
      <c r="AA51">
        <v>16903935</v>
      </c>
      <c r="AB51">
        <f t="shared" si="26"/>
        <v>87.66</v>
      </c>
      <c r="AC51">
        <f t="shared" si="27"/>
        <v>87.66</v>
      </c>
      <c r="AD51">
        <f>ROUND((((ET51)-(EU51))+AE51),6)</f>
        <v>0</v>
      </c>
      <c r="AE51">
        <f>ROUND((EU51),6)</f>
        <v>0</v>
      </c>
      <c r="AF51">
        <f>ROUND((EV51),6)</f>
        <v>0</v>
      </c>
      <c r="AG51">
        <f t="shared" si="28"/>
        <v>0</v>
      </c>
      <c r="AH51">
        <f>(EW51)</f>
        <v>0</v>
      </c>
      <c r="AI51">
        <f>(EX51)</f>
        <v>0</v>
      </c>
      <c r="AJ51">
        <f t="shared" si="29"/>
        <v>0</v>
      </c>
      <c r="AK51">
        <v>87.66</v>
      </c>
      <c r="AL51">
        <v>87.66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3.57</v>
      </c>
      <c r="BH51">
        <v>3</v>
      </c>
      <c r="BI51">
        <v>1</v>
      </c>
      <c r="BJ51" t="s">
        <v>138</v>
      </c>
      <c r="BM51">
        <v>1523</v>
      </c>
      <c r="BN51">
        <v>0</v>
      </c>
      <c r="BO51" t="s">
        <v>136</v>
      </c>
      <c r="BP51">
        <v>1</v>
      </c>
      <c r="BQ51">
        <v>30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0</v>
      </c>
      <c r="CA51">
        <v>0</v>
      </c>
      <c r="CF51">
        <v>0</v>
      </c>
      <c r="CG51">
        <v>0</v>
      </c>
      <c r="CM51">
        <v>0</v>
      </c>
      <c r="CO51">
        <v>0</v>
      </c>
      <c r="CP51">
        <f t="shared" si="30"/>
        <v>12851.48</v>
      </c>
      <c r="CQ51">
        <f t="shared" si="31"/>
        <v>312.9462</v>
      </c>
      <c r="CR51">
        <f t="shared" si="32"/>
        <v>0</v>
      </c>
      <c r="CS51">
        <f t="shared" si="33"/>
        <v>0</v>
      </c>
      <c r="CT51">
        <f t="shared" si="34"/>
        <v>0</v>
      </c>
      <c r="CU51">
        <f t="shared" si="35"/>
        <v>0</v>
      </c>
      <c r="CV51">
        <f t="shared" si="36"/>
        <v>0</v>
      </c>
      <c r="CW51">
        <f t="shared" si="37"/>
        <v>0</v>
      </c>
      <c r="CX51">
        <f t="shared" si="38"/>
        <v>0</v>
      </c>
      <c r="CY51">
        <f t="shared" si="39"/>
        <v>0</v>
      </c>
      <c r="CZ51">
        <f t="shared" si="40"/>
        <v>0</v>
      </c>
      <c r="DN51">
        <v>100</v>
      </c>
      <c r="DO51">
        <v>64</v>
      </c>
      <c r="DP51">
        <v>1.025</v>
      </c>
      <c r="DQ51">
        <v>1</v>
      </c>
      <c r="DU51">
        <v>1009</v>
      </c>
      <c r="DV51" t="s">
        <v>106</v>
      </c>
      <c r="DW51" t="s">
        <v>106</v>
      </c>
      <c r="DX51">
        <v>1</v>
      </c>
      <c r="EE51">
        <v>16351386</v>
      </c>
      <c r="EF51">
        <v>30</v>
      </c>
      <c r="EG51" t="s">
        <v>37</v>
      </c>
      <c r="EH51">
        <v>0</v>
      </c>
      <c r="EJ51">
        <v>1</v>
      </c>
      <c r="EK51">
        <v>1523</v>
      </c>
      <c r="EL51" t="s">
        <v>133</v>
      </c>
      <c r="EM51" t="s">
        <v>134</v>
      </c>
      <c r="EQ51">
        <v>0</v>
      </c>
      <c r="ER51">
        <v>87.66</v>
      </c>
      <c r="ES51">
        <v>87.66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0</v>
      </c>
      <c r="FQ51">
        <v>0</v>
      </c>
      <c r="FR51">
        <f t="shared" si="41"/>
        <v>0</v>
      </c>
      <c r="FS51">
        <v>0</v>
      </c>
      <c r="FX51">
        <v>0</v>
      </c>
      <c r="FY51">
        <v>0</v>
      </c>
      <c r="GG51">
        <v>2</v>
      </c>
      <c r="GH51">
        <v>1</v>
      </c>
      <c r="GI51">
        <v>2</v>
      </c>
      <c r="GJ51">
        <v>0</v>
      </c>
      <c r="GK51">
        <f>ROUND(R51*(R12)/100,2)</f>
        <v>0</v>
      </c>
      <c r="GL51">
        <f t="shared" si="42"/>
        <v>0</v>
      </c>
      <c r="GM51">
        <f t="shared" si="43"/>
        <v>12851.48</v>
      </c>
      <c r="GN51">
        <f t="shared" si="44"/>
        <v>12851.48</v>
      </c>
      <c r="GO51">
        <f t="shared" si="45"/>
        <v>0</v>
      </c>
      <c r="GP51">
        <f t="shared" si="46"/>
        <v>0</v>
      </c>
      <c r="GR51">
        <v>0</v>
      </c>
    </row>
    <row r="52" spans="1:200" ht="12.75">
      <c r="A52">
        <v>17</v>
      </c>
      <c r="B52">
        <v>1</v>
      </c>
      <c r="C52">
        <f>ROW(SmtRes!A54)</f>
        <v>54</v>
      </c>
      <c r="D52">
        <f>ROW(EtalonRes!A55)</f>
        <v>55</v>
      </c>
      <c r="E52" t="s">
        <v>139</v>
      </c>
      <c r="F52" t="s">
        <v>140</v>
      </c>
      <c r="G52" t="s">
        <v>141</v>
      </c>
      <c r="H52" t="s">
        <v>29</v>
      </c>
      <c r="I52">
        <v>3.987</v>
      </c>
      <c r="J52">
        <v>0</v>
      </c>
      <c r="O52">
        <f t="shared" si="15"/>
        <v>34741.75</v>
      </c>
      <c r="P52">
        <f t="shared" si="16"/>
        <v>221.44</v>
      </c>
      <c r="Q52">
        <f t="shared" si="17"/>
        <v>1145.85</v>
      </c>
      <c r="R52">
        <f t="shared" si="18"/>
        <v>472.14</v>
      </c>
      <c r="S52">
        <f t="shared" si="19"/>
        <v>33374.46</v>
      </c>
      <c r="T52">
        <f t="shared" si="20"/>
        <v>0</v>
      </c>
      <c r="U52">
        <f t="shared" si="21"/>
        <v>193.48911</v>
      </c>
      <c r="V52">
        <f t="shared" si="22"/>
        <v>0</v>
      </c>
      <c r="W52">
        <f t="shared" si="23"/>
        <v>0</v>
      </c>
      <c r="X52">
        <f t="shared" si="24"/>
        <v>28368.29</v>
      </c>
      <c r="Y52">
        <f t="shared" si="25"/>
        <v>14684.76</v>
      </c>
      <c r="AA52">
        <v>16903935</v>
      </c>
      <c r="AB52">
        <f t="shared" si="26"/>
        <v>654.6095</v>
      </c>
      <c r="AC52">
        <f t="shared" si="27"/>
        <v>12.18</v>
      </c>
      <c r="AD52">
        <f>ROUND(((((ET52*1.25))-((EU52*1.25)))+AE52),6)</f>
        <v>36.2875</v>
      </c>
      <c r="AE52">
        <f>ROUND(((EU52*1.25)),6)</f>
        <v>8.575</v>
      </c>
      <c r="AF52">
        <f>ROUND(((EV52*1.15)),6)</f>
        <v>606.142</v>
      </c>
      <c r="AG52">
        <f t="shared" si="28"/>
        <v>0</v>
      </c>
      <c r="AH52">
        <f>((EW52*1.15))</f>
        <v>48.53</v>
      </c>
      <c r="AI52">
        <f>((EX52*1.25))</f>
        <v>0</v>
      </c>
      <c r="AJ52">
        <f t="shared" si="29"/>
        <v>0</v>
      </c>
      <c r="AK52">
        <v>568.29</v>
      </c>
      <c r="AL52">
        <v>12.18</v>
      </c>
      <c r="AM52">
        <v>29.03</v>
      </c>
      <c r="AN52">
        <v>6.86</v>
      </c>
      <c r="AO52">
        <v>527.08</v>
      </c>
      <c r="AP52">
        <v>0</v>
      </c>
      <c r="AQ52">
        <v>42.2</v>
      </c>
      <c r="AR52">
        <v>0</v>
      </c>
      <c r="AS52">
        <v>0</v>
      </c>
      <c r="AT52">
        <v>85</v>
      </c>
      <c r="AU52">
        <v>44</v>
      </c>
      <c r="AV52">
        <v>1</v>
      </c>
      <c r="AW52">
        <v>1</v>
      </c>
      <c r="AZ52">
        <v>1</v>
      </c>
      <c r="BA52">
        <v>13.81</v>
      </c>
      <c r="BB52">
        <v>7.92</v>
      </c>
      <c r="BC52">
        <v>4.56</v>
      </c>
      <c r="BH52">
        <v>0</v>
      </c>
      <c r="BI52">
        <v>1</v>
      </c>
      <c r="BJ52" t="s">
        <v>142</v>
      </c>
      <c r="BM52">
        <v>117</v>
      </c>
      <c r="BN52">
        <v>0</v>
      </c>
      <c r="BO52" t="s">
        <v>140</v>
      </c>
      <c r="BP52">
        <v>1</v>
      </c>
      <c r="BQ52">
        <v>30</v>
      </c>
      <c r="BS52">
        <v>13.81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85</v>
      </c>
      <c r="CA52">
        <v>44</v>
      </c>
      <c r="CF52">
        <v>0</v>
      </c>
      <c r="CG52">
        <v>0</v>
      </c>
      <c r="CM52">
        <v>0</v>
      </c>
      <c r="CO52">
        <v>0</v>
      </c>
      <c r="CP52">
        <f t="shared" si="30"/>
        <v>34741.75</v>
      </c>
      <c r="CQ52">
        <f t="shared" si="31"/>
        <v>55.5408</v>
      </c>
      <c r="CR52">
        <f t="shared" si="32"/>
        <v>287.397</v>
      </c>
      <c r="CS52">
        <f t="shared" si="33"/>
        <v>118.42075</v>
      </c>
      <c r="CT52">
        <f t="shared" si="34"/>
        <v>8370.821020000001</v>
      </c>
      <c r="CU52">
        <f t="shared" si="35"/>
        <v>0</v>
      </c>
      <c r="CV52">
        <f t="shared" si="36"/>
        <v>48.53</v>
      </c>
      <c r="CW52">
        <f t="shared" si="37"/>
        <v>0</v>
      </c>
      <c r="CX52">
        <f t="shared" si="38"/>
        <v>0</v>
      </c>
      <c r="CY52">
        <f t="shared" si="39"/>
        <v>28368.290999999997</v>
      </c>
      <c r="CZ52">
        <f t="shared" si="40"/>
        <v>14684.7624</v>
      </c>
      <c r="DE52" t="s">
        <v>31</v>
      </c>
      <c r="DF52" t="s">
        <v>31</v>
      </c>
      <c r="DG52" t="s">
        <v>32</v>
      </c>
      <c r="DI52" t="s">
        <v>32</v>
      </c>
      <c r="DJ52" t="s">
        <v>31</v>
      </c>
      <c r="DN52">
        <v>100</v>
      </c>
      <c r="DO52">
        <v>64</v>
      </c>
      <c r="DP52">
        <v>1.025</v>
      </c>
      <c r="DQ52">
        <v>1</v>
      </c>
      <c r="DU52">
        <v>1005</v>
      </c>
      <c r="DV52" t="s">
        <v>29</v>
      </c>
      <c r="DW52" t="s">
        <v>29</v>
      </c>
      <c r="DX52">
        <v>100</v>
      </c>
      <c r="EE52">
        <v>16349980</v>
      </c>
      <c r="EF52">
        <v>30</v>
      </c>
      <c r="EG52" t="s">
        <v>37</v>
      </c>
      <c r="EH52">
        <v>0</v>
      </c>
      <c r="EJ52">
        <v>1</v>
      </c>
      <c r="EK52">
        <v>117</v>
      </c>
      <c r="EL52" t="s">
        <v>101</v>
      </c>
      <c r="EM52" t="s">
        <v>102</v>
      </c>
      <c r="EQ52">
        <v>0</v>
      </c>
      <c r="ER52">
        <v>568.29</v>
      </c>
      <c r="ES52">
        <v>12.18</v>
      </c>
      <c r="ET52">
        <v>29.03</v>
      </c>
      <c r="EU52">
        <v>6.86</v>
      </c>
      <c r="EV52">
        <v>527.08</v>
      </c>
      <c r="EW52">
        <v>42.2</v>
      </c>
      <c r="EX52">
        <v>0</v>
      </c>
      <c r="EY52">
        <v>0</v>
      </c>
      <c r="EZ52">
        <v>0</v>
      </c>
      <c r="FQ52">
        <v>0</v>
      </c>
      <c r="FR52">
        <f t="shared" si="41"/>
        <v>0</v>
      </c>
      <c r="FS52">
        <v>0</v>
      </c>
      <c r="FX52">
        <v>85</v>
      </c>
      <c r="FY52">
        <v>44</v>
      </c>
      <c r="GG52">
        <v>2</v>
      </c>
      <c r="GH52">
        <v>1</v>
      </c>
      <c r="GI52">
        <v>2</v>
      </c>
      <c r="GJ52">
        <v>0</v>
      </c>
      <c r="GK52">
        <f>ROUND(R52*(R12)/100,2)</f>
        <v>797.92</v>
      </c>
      <c r="GL52">
        <f t="shared" si="42"/>
        <v>0</v>
      </c>
      <c r="GM52">
        <f t="shared" si="43"/>
        <v>78592.72</v>
      </c>
      <c r="GN52">
        <f t="shared" si="44"/>
        <v>78592.72</v>
      </c>
      <c r="GO52">
        <f t="shared" si="45"/>
        <v>0</v>
      </c>
      <c r="GP52">
        <f t="shared" si="46"/>
        <v>0</v>
      </c>
      <c r="GR52">
        <v>0</v>
      </c>
    </row>
    <row r="53" spans="1:200" ht="12.75">
      <c r="A53">
        <v>18</v>
      </c>
      <c r="B53">
        <v>1</v>
      </c>
      <c r="C53">
        <v>53</v>
      </c>
      <c r="E53" t="s">
        <v>143</v>
      </c>
      <c r="F53" t="s">
        <v>144</v>
      </c>
      <c r="G53" t="s">
        <v>145</v>
      </c>
      <c r="H53" t="s">
        <v>48</v>
      </c>
      <c r="I53">
        <f>I52*J53</f>
        <v>0.135558</v>
      </c>
      <c r="J53">
        <v>0.034</v>
      </c>
      <c r="O53">
        <f t="shared" si="15"/>
        <v>5031.45</v>
      </c>
      <c r="P53">
        <f t="shared" si="16"/>
        <v>5031.45</v>
      </c>
      <c r="Q53">
        <f t="shared" si="17"/>
        <v>0</v>
      </c>
      <c r="R53">
        <f t="shared" si="18"/>
        <v>0</v>
      </c>
      <c r="S53">
        <f t="shared" si="19"/>
        <v>0</v>
      </c>
      <c r="T53">
        <f t="shared" si="20"/>
        <v>0</v>
      </c>
      <c r="U53">
        <f t="shared" si="21"/>
        <v>0</v>
      </c>
      <c r="V53">
        <f t="shared" si="22"/>
        <v>0</v>
      </c>
      <c r="W53">
        <f t="shared" si="23"/>
        <v>0</v>
      </c>
      <c r="X53">
        <f t="shared" si="24"/>
        <v>0</v>
      </c>
      <c r="Y53">
        <f t="shared" si="25"/>
        <v>0</v>
      </c>
      <c r="AA53">
        <v>16903935</v>
      </c>
      <c r="AB53">
        <f t="shared" si="26"/>
        <v>13953.6</v>
      </c>
      <c r="AC53">
        <f t="shared" si="27"/>
        <v>13953.6</v>
      </c>
      <c r="AD53">
        <f>ROUND((((ET53)-(EU53))+AE53),6)</f>
        <v>0</v>
      </c>
      <c r="AE53">
        <f>ROUND((EU53),6)</f>
        <v>0</v>
      </c>
      <c r="AF53">
        <f>ROUND((EV53),6)</f>
        <v>0</v>
      </c>
      <c r="AG53">
        <f t="shared" si="28"/>
        <v>0</v>
      </c>
      <c r="AH53">
        <f>(EW53)</f>
        <v>0</v>
      </c>
      <c r="AI53">
        <f>(EX53)</f>
        <v>0</v>
      </c>
      <c r="AJ53">
        <f t="shared" si="29"/>
        <v>0</v>
      </c>
      <c r="AK53">
        <v>13953.6</v>
      </c>
      <c r="AL53">
        <v>13953.6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2.66</v>
      </c>
      <c r="BH53">
        <v>3</v>
      </c>
      <c r="BI53">
        <v>1</v>
      </c>
      <c r="BJ53" t="s">
        <v>146</v>
      </c>
      <c r="BM53">
        <v>117</v>
      </c>
      <c r="BN53">
        <v>0</v>
      </c>
      <c r="BO53" t="s">
        <v>144</v>
      </c>
      <c r="BP53">
        <v>1</v>
      </c>
      <c r="BQ53">
        <v>30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0</v>
      </c>
      <c r="CA53">
        <v>0</v>
      </c>
      <c r="CF53">
        <v>0</v>
      </c>
      <c r="CG53">
        <v>0</v>
      </c>
      <c r="CM53">
        <v>0</v>
      </c>
      <c r="CO53">
        <v>0</v>
      </c>
      <c r="CP53">
        <f t="shared" si="30"/>
        <v>5031.45</v>
      </c>
      <c r="CQ53">
        <f t="shared" si="31"/>
        <v>37116.576</v>
      </c>
      <c r="CR53">
        <f t="shared" si="32"/>
        <v>0</v>
      </c>
      <c r="CS53">
        <f t="shared" si="33"/>
        <v>0</v>
      </c>
      <c r="CT53">
        <f t="shared" si="34"/>
        <v>0</v>
      </c>
      <c r="CU53">
        <f t="shared" si="35"/>
        <v>0</v>
      </c>
      <c r="CV53">
        <f t="shared" si="36"/>
        <v>0</v>
      </c>
      <c r="CW53">
        <f t="shared" si="37"/>
        <v>0</v>
      </c>
      <c r="CX53">
        <f t="shared" si="38"/>
        <v>0</v>
      </c>
      <c r="CY53">
        <f t="shared" si="39"/>
        <v>0</v>
      </c>
      <c r="CZ53">
        <f t="shared" si="40"/>
        <v>0</v>
      </c>
      <c r="DN53">
        <v>100</v>
      </c>
      <c r="DO53">
        <v>64</v>
      </c>
      <c r="DP53">
        <v>1.025</v>
      </c>
      <c r="DQ53">
        <v>1</v>
      </c>
      <c r="DU53">
        <v>1009</v>
      </c>
      <c r="DV53" t="s">
        <v>48</v>
      </c>
      <c r="DW53" t="s">
        <v>48</v>
      </c>
      <c r="DX53">
        <v>1000</v>
      </c>
      <c r="EE53">
        <v>16349980</v>
      </c>
      <c r="EF53">
        <v>30</v>
      </c>
      <c r="EG53" t="s">
        <v>37</v>
      </c>
      <c r="EH53">
        <v>0</v>
      </c>
      <c r="EJ53">
        <v>1</v>
      </c>
      <c r="EK53">
        <v>117</v>
      </c>
      <c r="EL53" t="s">
        <v>101</v>
      </c>
      <c r="EM53" t="s">
        <v>102</v>
      </c>
      <c r="EQ53">
        <v>0</v>
      </c>
      <c r="ER53">
        <v>13953.6</v>
      </c>
      <c r="ES53">
        <v>13953.6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0</v>
      </c>
      <c r="FQ53">
        <v>0</v>
      </c>
      <c r="FR53">
        <f t="shared" si="41"/>
        <v>0</v>
      </c>
      <c r="FS53">
        <v>0</v>
      </c>
      <c r="FX53">
        <v>0</v>
      </c>
      <c r="FY53">
        <v>0</v>
      </c>
      <c r="GG53">
        <v>2</v>
      </c>
      <c r="GH53">
        <v>1</v>
      </c>
      <c r="GI53">
        <v>2</v>
      </c>
      <c r="GJ53">
        <v>0</v>
      </c>
      <c r="GK53">
        <f>ROUND(R53*(R12)/100,2)</f>
        <v>0</v>
      </c>
      <c r="GL53">
        <f t="shared" si="42"/>
        <v>0</v>
      </c>
      <c r="GM53">
        <f t="shared" si="43"/>
        <v>5031.45</v>
      </c>
      <c r="GN53">
        <f t="shared" si="44"/>
        <v>5031.45</v>
      </c>
      <c r="GO53">
        <f t="shared" si="45"/>
        <v>0</v>
      </c>
      <c r="GP53">
        <f t="shared" si="46"/>
        <v>0</v>
      </c>
      <c r="GR53">
        <v>0</v>
      </c>
    </row>
    <row r="54" spans="1:200" ht="12.75">
      <c r="A54">
        <v>18</v>
      </c>
      <c r="B54">
        <v>1</v>
      </c>
      <c r="C54">
        <v>54</v>
      </c>
      <c r="E54" t="s">
        <v>147</v>
      </c>
      <c r="F54" t="s">
        <v>148</v>
      </c>
      <c r="G54" t="s">
        <v>149</v>
      </c>
      <c r="H54" t="s">
        <v>48</v>
      </c>
      <c r="I54">
        <f>I52*J54</f>
        <v>0.251181</v>
      </c>
      <c r="J54">
        <v>0.063</v>
      </c>
      <c r="O54">
        <f t="shared" si="15"/>
        <v>19414.06</v>
      </c>
      <c r="P54">
        <f t="shared" si="16"/>
        <v>19414.06</v>
      </c>
      <c r="Q54">
        <f t="shared" si="17"/>
        <v>0</v>
      </c>
      <c r="R54">
        <f t="shared" si="18"/>
        <v>0</v>
      </c>
      <c r="S54">
        <f t="shared" si="19"/>
        <v>0</v>
      </c>
      <c r="T54">
        <f t="shared" si="20"/>
        <v>0</v>
      </c>
      <c r="U54">
        <f t="shared" si="21"/>
        <v>0</v>
      </c>
      <c r="V54">
        <f t="shared" si="22"/>
        <v>0</v>
      </c>
      <c r="W54">
        <f t="shared" si="23"/>
        <v>0</v>
      </c>
      <c r="X54">
        <f t="shared" si="24"/>
        <v>0</v>
      </c>
      <c r="Y54">
        <f t="shared" si="25"/>
        <v>0</v>
      </c>
      <c r="AA54">
        <v>16903935</v>
      </c>
      <c r="AB54">
        <f t="shared" si="26"/>
        <v>33030.4</v>
      </c>
      <c r="AC54">
        <f t="shared" si="27"/>
        <v>33030.4</v>
      </c>
      <c r="AD54">
        <f>ROUND((((ET54)-(EU54))+AE54),6)</f>
        <v>0</v>
      </c>
      <c r="AE54">
        <f>ROUND((EU54),6)</f>
        <v>0</v>
      </c>
      <c r="AF54">
        <f>ROUND((EV54),6)</f>
        <v>0</v>
      </c>
      <c r="AG54">
        <f t="shared" si="28"/>
        <v>0</v>
      </c>
      <c r="AH54">
        <f>(EW54)</f>
        <v>0</v>
      </c>
      <c r="AI54">
        <f>(EX54)</f>
        <v>0</v>
      </c>
      <c r="AJ54">
        <f t="shared" si="29"/>
        <v>0</v>
      </c>
      <c r="AK54">
        <v>33030.4</v>
      </c>
      <c r="AL54">
        <v>33030.4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2.34</v>
      </c>
      <c r="BH54">
        <v>3</v>
      </c>
      <c r="BI54">
        <v>1</v>
      </c>
      <c r="BJ54" t="s">
        <v>150</v>
      </c>
      <c r="BM54">
        <v>117</v>
      </c>
      <c r="BN54">
        <v>0</v>
      </c>
      <c r="BO54" t="s">
        <v>148</v>
      </c>
      <c r="BP54">
        <v>1</v>
      </c>
      <c r="BQ54">
        <v>30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0</v>
      </c>
      <c r="CA54">
        <v>0</v>
      </c>
      <c r="CF54">
        <v>0</v>
      </c>
      <c r="CG54">
        <v>0</v>
      </c>
      <c r="CM54">
        <v>0</v>
      </c>
      <c r="CO54">
        <v>0</v>
      </c>
      <c r="CP54">
        <f t="shared" si="30"/>
        <v>19414.06</v>
      </c>
      <c r="CQ54">
        <f t="shared" si="31"/>
        <v>77291.136</v>
      </c>
      <c r="CR54">
        <f t="shared" si="32"/>
        <v>0</v>
      </c>
      <c r="CS54">
        <f t="shared" si="33"/>
        <v>0</v>
      </c>
      <c r="CT54">
        <f t="shared" si="34"/>
        <v>0</v>
      </c>
      <c r="CU54">
        <f t="shared" si="35"/>
        <v>0</v>
      </c>
      <c r="CV54">
        <f t="shared" si="36"/>
        <v>0</v>
      </c>
      <c r="CW54">
        <f t="shared" si="37"/>
        <v>0</v>
      </c>
      <c r="CX54">
        <f t="shared" si="38"/>
        <v>0</v>
      </c>
      <c r="CY54">
        <f t="shared" si="39"/>
        <v>0</v>
      </c>
      <c r="CZ54">
        <f t="shared" si="40"/>
        <v>0</v>
      </c>
      <c r="DN54">
        <v>100</v>
      </c>
      <c r="DO54">
        <v>64</v>
      </c>
      <c r="DP54">
        <v>1.025</v>
      </c>
      <c r="DQ54">
        <v>1</v>
      </c>
      <c r="DU54">
        <v>1009</v>
      </c>
      <c r="DV54" t="s">
        <v>48</v>
      </c>
      <c r="DW54" t="s">
        <v>48</v>
      </c>
      <c r="DX54">
        <v>1000</v>
      </c>
      <c r="EE54">
        <v>16349980</v>
      </c>
      <c r="EF54">
        <v>30</v>
      </c>
      <c r="EG54" t="s">
        <v>37</v>
      </c>
      <c r="EH54">
        <v>0</v>
      </c>
      <c r="EJ54">
        <v>1</v>
      </c>
      <c r="EK54">
        <v>117</v>
      </c>
      <c r="EL54" t="s">
        <v>101</v>
      </c>
      <c r="EM54" t="s">
        <v>102</v>
      </c>
      <c r="EQ54">
        <v>0</v>
      </c>
      <c r="ER54">
        <v>33030.4</v>
      </c>
      <c r="ES54">
        <v>33030.4</v>
      </c>
      <c r="ET54">
        <v>0</v>
      </c>
      <c r="EU54">
        <v>0</v>
      </c>
      <c r="EV54">
        <v>0</v>
      </c>
      <c r="EW54">
        <v>0</v>
      </c>
      <c r="EX54">
        <v>0</v>
      </c>
      <c r="EZ54">
        <v>0</v>
      </c>
      <c r="FQ54">
        <v>0</v>
      </c>
      <c r="FR54">
        <f t="shared" si="41"/>
        <v>0</v>
      </c>
      <c r="FS54">
        <v>0</v>
      </c>
      <c r="FX54">
        <v>0</v>
      </c>
      <c r="FY54">
        <v>0</v>
      </c>
      <c r="GG54">
        <v>2</v>
      </c>
      <c r="GH54">
        <v>1</v>
      </c>
      <c r="GI54">
        <v>2</v>
      </c>
      <c r="GJ54">
        <v>0</v>
      </c>
      <c r="GK54">
        <f>ROUND(R54*(R12)/100,2)</f>
        <v>0</v>
      </c>
      <c r="GL54">
        <f t="shared" si="42"/>
        <v>0</v>
      </c>
      <c r="GM54">
        <f t="shared" si="43"/>
        <v>19414.06</v>
      </c>
      <c r="GN54">
        <f t="shared" si="44"/>
        <v>19414.06</v>
      </c>
      <c r="GO54">
        <f t="shared" si="45"/>
        <v>0</v>
      </c>
      <c r="GP54">
        <f t="shared" si="46"/>
        <v>0</v>
      </c>
      <c r="GR54">
        <v>0</v>
      </c>
    </row>
    <row r="56" spans="1:118" ht="12.75">
      <c r="A56" s="2">
        <v>51</v>
      </c>
      <c r="B56" s="2">
        <f>B24</f>
        <v>1</v>
      </c>
      <c r="C56" s="2">
        <f>A24</f>
        <v>4</v>
      </c>
      <c r="D56" s="2">
        <f>ROW(A24)</f>
        <v>24</v>
      </c>
      <c r="E56" s="2"/>
      <c r="F56" s="2" t="str">
        <f>IF(F24&lt;&gt;"",F24,"")</f>
        <v>Новый раздел</v>
      </c>
      <c r="G56" s="2" t="str">
        <f>IF(G24&lt;&gt;"",G24,"")</f>
        <v>Текущий ремонт помещения IX (вход 2, 1 этаж) </v>
      </c>
      <c r="H56" s="2"/>
      <c r="I56" s="2"/>
      <c r="J56" s="2"/>
      <c r="K56" s="2"/>
      <c r="L56" s="2"/>
      <c r="M56" s="2"/>
      <c r="N56" s="2"/>
      <c r="O56" s="2">
        <f aca="true" t="shared" si="51" ref="O56:T56">ROUND(AB56,2)</f>
        <v>172522.81</v>
      </c>
      <c r="P56" s="2">
        <f t="shared" si="51"/>
        <v>75522.84</v>
      </c>
      <c r="Q56" s="2">
        <f t="shared" si="51"/>
        <v>1700.43</v>
      </c>
      <c r="R56" s="2">
        <f t="shared" si="51"/>
        <v>674.29</v>
      </c>
      <c r="S56" s="2">
        <f t="shared" si="51"/>
        <v>95299.54</v>
      </c>
      <c r="T56" s="2">
        <f t="shared" si="51"/>
        <v>0</v>
      </c>
      <c r="U56" s="2">
        <f>AH56</f>
        <v>605.08083745</v>
      </c>
      <c r="V56" s="2">
        <f>AI56</f>
        <v>0</v>
      </c>
      <c r="W56" s="2">
        <f>ROUND(AJ56,2)</f>
        <v>0</v>
      </c>
      <c r="X56" s="2">
        <f>ROUND(AK56,2)</f>
        <v>80146.11</v>
      </c>
      <c r="Y56" s="2">
        <f>ROUND(AL56,2)</f>
        <v>41931.8</v>
      </c>
      <c r="Z56" s="2"/>
      <c r="AA56" s="2"/>
      <c r="AB56" s="2">
        <f>ROUND(SUMIF(AA28:AA54,"=16903935",O28:O54),2)</f>
        <v>172522.81</v>
      </c>
      <c r="AC56" s="2">
        <f>ROUND(SUMIF(AA28:AA54,"=16903935",P28:P54),2)</f>
        <v>75522.84</v>
      </c>
      <c r="AD56" s="2">
        <f>ROUND(SUMIF(AA28:AA54,"=16903935",Q28:Q54),2)</f>
        <v>1700.43</v>
      </c>
      <c r="AE56" s="2">
        <f>ROUND(SUMIF(AA28:AA54,"=16903935",R28:R54),2)</f>
        <v>674.29</v>
      </c>
      <c r="AF56" s="2">
        <f>ROUND(SUMIF(AA28:AA54,"=16903935",S28:S54),2)</f>
        <v>95299.54</v>
      </c>
      <c r="AG56" s="2">
        <f>ROUND(SUMIF(AA28:AA54,"=16903935",T28:T54),2)</f>
        <v>0</v>
      </c>
      <c r="AH56" s="2">
        <f>SUMIF(AA28:AA54,"=16903935",U28:U54)</f>
        <v>605.08083745</v>
      </c>
      <c r="AI56" s="2">
        <f>SUMIF(AA28:AA54,"=16903935",V28:V54)</f>
        <v>0</v>
      </c>
      <c r="AJ56" s="2">
        <f>ROUND(SUMIF(AA28:AA54,"=16903935",W28:W54),2)</f>
        <v>0</v>
      </c>
      <c r="AK56" s="2">
        <f>ROUND(SUMIF(AA28:AA54,"=16903935",X28:X54),2)</f>
        <v>80146.11</v>
      </c>
      <c r="AL56" s="2">
        <f>ROUND(SUMIF(AA28:AA54,"=16903935",Y28:Y54),2)</f>
        <v>41931.8</v>
      </c>
      <c r="AM56" s="2"/>
      <c r="AN56" s="2"/>
      <c r="AO56" s="2">
        <f aca="true" t="shared" si="52" ref="AO56:AU56">ROUND(BB56,2)</f>
        <v>0</v>
      </c>
      <c r="AP56" s="2">
        <f t="shared" si="52"/>
        <v>0</v>
      </c>
      <c r="AQ56" s="2">
        <f t="shared" si="52"/>
        <v>0</v>
      </c>
      <c r="AR56" s="2">
        <f t="shared" si="52"/>
        <v>295740.28</v>
      </c>
      <c r="AS56" s="2">
        <f t="shared" si="52"/>
        <v>295740.28</v>
      </c>
      <c r="AT56" s="2">
        <f t="shared" si="52"/>
        <v>0</v>
      </c>
      <c r="AU56" s="2">
        <f t="shared" si="52"/>
        <v>0</v>
      </c>
      <c r="AV56" s="2"/>
      <c r="AW56" s="2"/>
      <c r="AX56" s="2"/>
      <c r="AY56" s="2"/>
      <c r="AZ56" s="2"/>
      <c r="BA56" s="2"/>
      <c r="BB56" s="2">
        <f>ROUND(SUMIF(AA28:AA54,"=16903935",FQ28:FQ54),2)</f>
        <v>0</v>
      </c>
      <c r="BC56" s="2">
        <f>ROUND(SUMIF(AA28:AA54,"=16903935",FR28:FR54),2)</f>
        <v>0</v>
      </c>
      <c r="BD56" s="2">
        <f>ROUND(SUMIF(AA28:AA54,"=16903935",GL28:GL54),2)</f>
        <v>0</v>
      </c>
      <c r="BE56" s="2">
        <f>ROUND(SUMIF(AA28:AA54,"=16903935",GM28:GM54),2)</f>
        <v>295740.28</v>
      </c>
      <c r="BF56" s="2">
        <f>ROUND(SUMIF(AA28:AA54,"=16903935",GN28:GN54),2)</f>
        <v>295740.28</v>
      </c>
      <c r="BG56" s="2">
        <f>ROUND(SUMIF(AA28:AA54,"=16903935",GO28:GO54),2)</f>
        <v>0</v>
      </c>
      <c r="BH56" s="2">
        <f>ROUND(SUMIF(AA28:AA54,"=16903935",GP28:GP54),2)</f>
        <v>0</v>
      </c>
      <c r="BI56" s="2"/>
      <c r="BJ56" s="2"/>
      <c r="BK56" s="2"/>
      <c r="BL56" s="2"/>
      <c r="BM56" s="2"/>
      <c r="BN56" s="2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>
        <v>0</v>
      </c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201</v>
      </c>
      <c r="F58" s="4">
        <f>ROUND(Source!O56,O58)</f>
        <v>172522.81</v>
      </c>
      <c r="G58" s="4" t="s">
        <v>151</v>
      </c>
      <c r="H58" s="4" t="s">
        <v>152</v>
      </c>
      <c r="I58" s="4"/>
      <c r="J58" s="4"/>
      <c r="K58" s="4">
        <v>201</v>
      </c>
      <c r="L58" s="4">
        <v>1</v>
      </c>
      <c r="M58" s="4">
        <v>3</v>
      </c>
      <c r="N58" s="4" t="s">
        <v>3</v>
      </c>
      <c r="O58" s="4">
        <v>2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202</v>
      </c>
      <c r="F59" s="4">
        <f>ROUND(Source!P56,O59)</f>
        <v>75522.84</v>
      </c>
      <c r="G59" s="4" t="s">
        <v>153</v>
      </c>
      <c r="H59" s="4" t="s">
        <v>154</v>
      </c>
      <c r="I59" s="4"/>
      <c r="J59" s="4"/>
      <c r="K59" s="4">
        <v>202</v>
      </c>
      <c r="L59" s="4">
        <v>2</v>
      </c>
      <c r="M59" s="4">
        <v>3</v>
      </c>
      <c r="N59" s="4" t="s">
        <v>3</v>
      </c>
      <c r="O59" s="4">
        <v>2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222</v>
      </c>
      <c r="F60" s="4">
        <f>ROUND(Source!AO56,O60)</f>
        <v>0</v>
      </c>
      <c r="G60" s="4" t="s">
        <v>155</v>
      </c>
      <c r="H60" s="4" t="s">
        <v>156</v>
      </c>
      <c r="I60" s="4"/>
      <c r="J60" s="4"/>
      <c r="K60" s="4">
        <v>222</v>
      </c>
      <c r="L60" s="4">
        <v>3</v>
      </c>
      <c r="M60" s="4">
        <v>3</v>
      </c>
      <c r="N60" s="4" t="s">
        <v>3</v>
      </c>
      <c r="O60" s="4">
        <v>2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216</v>
      </c>
      <c r="F61" s="4">
        <f>ROUND(Source!AP56,O61)</f>
        <v>0</v>
      </c>
      <c r="G61" s="4" t="s">
        <v>157</v>
      </c>
      <c r="H61" s="4" t="s">
        <v>158</v>
      </c>
      <c r="I61" s="4"/>
      <c r="J61" s="4"/>
      <c r="K61" s="4">
        <v>216</v>
      </c>
      <c r="L61" s="4">
        <v>4</v>
      </c>
      <c r="M61" s="4">
        <v>3</v>
      </c>
      <c r="N61" s="4" t="s">
        <v>3</v>
      </c>
      <c r="O61" s="4">
        <v>2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223</v>
      </c>
      <c r="F62" s="4">
        <f>ROUND(Source!AQ56,O62)</f>
        <v>0</v>
      </c>
      <c r="G62" s="4" t="s">
        <v>159</v>
      </c>
      <c r="H62" s="4" t="s">
        <v>160</v>
      </c>
      <c r="I62" s="4"/>
      <c r="J62" s="4"/>
      <c r="K62" s="4">
        <v>223</v>
      </c>
      <c r="L62" s="4">
        <v>5</v>
      </c>
      <c r="M62" s="4">
        <v>3</v>
      </c>
      <c r="N62" s="4" t="s">
        <v>3</v>
      </c>
      <c r="O62" s="4">
        <v>2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203</v>
      </c>
      <c r="F63" s="4">
        <f>ROUND(Source!Q56,O63)</f>
        <v>1700.43</v>
      </c>
      <c r="G63" s="4" t="s">
        <v>161</v>
      </c>
      <c r="H63" s="4" t="s">
        <v>162</v>
      </c>
      <c r="I63" s="4"/>
      <c r="J63" s="4"/>
      <c r="K63" s="4">
        <v>203</v>
      </c>
      <c r="L63" s="4">
        <v>6</v>
      </c>
      <c r="M63" s="4">
        <v>3</v>
      </c>
      <c r="N63" s="4" t="s">
        <v>3</v>
      </c>
      <c r="O63" s="4">
        <v>2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204</v>
      </c>
      <c r="F64" s="4">
        <f>ROUND(Source!R56,O64)</f>
        <v>674.29</v>
      </c>
      <c r="G64" s="4" t="s">
        <v>163</v>
      </c>
      <c r="H64" s="4" t="s">
        <v>164</v>
      </c>
      <c r="I64" s="4"/>
      <c r="J64" s="4"/>
      <c r="K64" s="4">
        <v>204</v>
      </c>
      <c r="L64" s="4">
        <v>7</v>
      </c>
      <c r="M64" s="4">
        <v>3</v>
      </c>
      <c r="N64" s="4" t="s">
        <v>3</v>
      </c>
      <c r="O64" s="4">
        <v>2</v>
      </c>
      <c r="P64" s="4"/>
    </row>
    <row r="65" spans="1:16" ht="12.75">
      <c r="A65" s="4">
        <v>50</v>
      </c>
      <c r="B65" s="4">
        <v>0</v>
      </c>
      <c r="C65" s="4">
        <v>0</v>
      </c>
      <c r="D65" s="4">
        <v>1</v>
      </c>
      <c r="E65" s="4">
        <v>205</v>
      </c>
      <c r="F65" s="4">
        <f>ROUND(Source!S56,O65)</f>
        <v>95299.54</v>
      </c>
      <c r="G65" s="4" t="s">
        <v>165</v>
      </c>
      <c r="H65" s="4" t="s">
        <v>166</v>
      </c>
      <c r="I65" s="4"/>
      <c r="J65" s="4"/>
      <c r="K65" s="4">
        <v>205</v>
      </c>
      <c r="L65" s="4">
        <v>8</v>
      </c>
      <c r="M65" s="4">
        <v>3</v>
      </c>
      <c r="N65" s="4" t="s">
        <v>3</v>
      </c>
      <c r="O65" s="4">
        <v>2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214</v>
      </c>
      <c r="F66" s="4">
        <f>ROUND(Source!AS56,O66)</f>
        <v>295740.28</v>
      </c>
      <c r="G66" s="4" t="s">
        <v>167</v>
      </c>
      <c r="H66" s="4" t="s">
        <v>168</v>
      </c>
      <c r="I66" s="4"/>
      <c r="J66" s="4"/>
      <c r="K66" s="4">
        <v>214</v>
      </c>
      <c r="L66" s="4">
        <v>9</v>
      </c>
      <c r="M66" s="4">
        <v>3</v>
      </c>
      <c r="N66" s="4" t="s">
        <v>3</v>
      </c>
      <c r="O66" s="4">
        <v>2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215</v>
      </c>
      <c r="F67" s="4">
        <f>ROUND(Source!AT56,O67)</f>
        <v>0</v>
      </c>
      <c r="G67" s="4" t="s">
        <v>169</v>
      </c>
      <c r="H67" s="4" t="s">
        <v>170</v>
      </c>
      <c r="I67" s="4"/>
      <c r="J67" s="4"/>
      <c r="K67" s="4">
        <v>215</v>
      </c>
      <c r="L67" s="4">
        <v>10</v>
      </c>
      <c r="M67" s="4">
        <v>3</v>
      </c>
      <c r="N67" s="4" t="s">
        <v>3</v>
      </c>
      <c r="O67" s="4">
        <v>2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217</v>
      </c>
      <c r="F68" s="4">
        <f>ROUND(Source!AU56,O68)</f>
        <v>0</v>
      </c>
      <c r="G68" s="4" t="s">
        <v>171</v>
      </c>
      <c r="H68" s="4" t="s">
        <v>172</v>
      </c>
      <c r="I68" s="4"/>
      <c r="J68" s="4"/>
      <c r="K68" s="4">
        <v>217</v>
      </c>
      <c r="L68" s="4">
        <v>11</v>
      </c>
      <c r="M68" s="4">
        <v>3</v>
      </c>
      <c r="N68" s="4" t="s">
        <v>3</v>
      </c>
      <c r="O68" s="4">
        <v>2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206</v>
      </c>
      <c r="F69" s="4">
        <f>ROUND(Source!T56,O69)</f>
        <v>0</v>
      </c>
      <c r="G69" s="4" t="s">
        <v>173</v>
      </c>
      <c r="H69" s="4" t="s">
        <v>174</v>
      </c>
      <c r="I69" s="4"/>
      <c r="J69" s="4"/>
      <c r="K69" s="4">
        <v>206</v>
      </c>
      <c r="L69" s="4">
        <v>12</v>
      </c>
      <c r="M69" s="4">
        <v>3</v>
      </c>
      <c r="N69" s="4" t="s">
        <v>3</v>
      </c>
      <c r="O69" s="4">
        <v>2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207</v>
      </c>
      <c r="F70" s="4">
        <f>Source!U56</f>
        <v>605.08083745</v>
      </c>
      <c r="G70" s="4" t="s">
        <v>175</v>
      </c>
      <c r="H70" s="4" t="s">
        <v>176</v>
      </c>
      <c r="I70" s="4"/>
      <c r="J70" s="4"/>
      <c r="K70" s="4">
        <v>207</v>
      </c>
      <c r="L70" s="4">
        <v>13</v>
      </c>
      <c r="M70" s="4">
        <v>3</v>
      </c>
      <c r="N70" s="4" t="s">
        <v>3</v>
      </c>
      <c r="O70" s="4">
        <v>-1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208</v>
      </c>
      <c r="F71" s="4">
        <f>Source!V56</f>
        <v>0</v>
      </c>
      <c r="G71" s="4" t="s">
        <v>177</v>
      </c>
      <c r="H71" s="4" t="s">
        <v>178</v>
      </c>
      <c r="I71" s="4"/>
      <c r="J71" s="4"/>
      <c r="K71" s="4">
        <v>208</v>
      </c>
      <c r="L71" s="4">
        <v>14</v>
      </c>
      <c r="M71" s="4">
        <v>3</v>
      </c>
      <c r="N71" s="4" t="s">
        <v>3</v>
      </c>
      <c r="O71" s="4">
        <v>-1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209</v>
      </c>
      <c r="F72" s="4">
        <f>ROUND(Source!W56,O72)</f>
        <v>0</v>
      </c>
      <c r="G72" s="4" t="s">
        <v>179</v>
      </c>
      <c r="H72" s="4" t="s">
        <v>180</v>
      </c>
      <c r="I72" s="4"/>
      <c r="J72" s="4"/>
      <c r="K72" s="4">
        <v>209</v>
      </c>
      <c r="L72" s="4">
        <v>15</v>
      </c>
      <c r="M72" s="4">
        <v>3</v>
      </c>
      <c r="N72" s="4" t="s">
        <v>3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210</v>
      </c>
      <c r="F73" s="4">
        <f>ROUND(Source!X56,O73)</f>
        <v>80146.11</v>
      </c>
      <c r="G73" s="4" t="s">
        <v>181</v>
      </c>
      <c r="H73" s="4" t="s">
        <v>182</v>
      </c>
      <c r="I73" s="4"/>
      <c r="J73" s="4"/>
      <c r="K73" s="4">
        <v>210</v>
      </c>
      <c r="L73" s="4">
        <v>16</v>
      </c>
      <c r="M73" s="4">
        <v>3</v>
      </c>
      <c r="N73" s="4" t="s">
        <v>3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211</v>
      </c>
      <c r="F74" s="4">
        <f>ROUND(Source!Y56,O74)</f>
        <v>41931.8</v>
      </c>
      <c r="G74" s="4" t="s">
        <v>183</v>
      </c>
      <c r="H74" s="4" t="s">
        <v>184</v>
      </c>
      <c r="I74" s="4"/>
      <c r="J74" s="4"/>
      <c r="K74" s="4">
        <v>211</v>
      </c>
      <c r="L74" s="4">
        <v>17</v>
      </c>
      <c r="M74" s="4">
        <v>3</v>
      </c>
      <c r="N74" s="4" t="s">
        <v>3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224</v>
      </c>
      <c r="F75" s="4">
        <f>ROUND(Source!AR56,O75)</f>
        <v>295740.28</v>
      </c>
      <c r="G75" s="4" t="s">
        <v>185</v>
      </c>
      <c r="H75" s="4" t="s">
        <v>186</v>
      </c>
      <c r="I75" s="4"/>
      <c r="J75" s="4"/>
      <c r="K75" s="4">
        <v>224</v>
      </c>
      <c r="L75" s="4">
        <v>18</v>
      </c>
      <c r="M75" s="4">
        <v>3</v>
      </c>
      <c r="N75" s="4" t="s">
        <v>3</v>
      </c>
      <c r="O75" s="4">
        <v>2</v>
      </c>
      <c r="P75" s="4"/>
    </row>
    <row r="77" spans="1:88" ht="12.75">
      <c r="A77" s="1">
        <v>4</v>
      </c>
      <c r="B77" s="1">
        <v>1</v>
      </c>
      <c r="C77" s="1"/>
      <c r="D77" s="1">
        <f>ROW(A89)</f>
        <v>89</v>
      </c>
      <c r="E77" s="1"/>
      <c r="F77" s="1" t="s">
        <v>17</v>
      </c>
      <c r="G77" s="1" t="s">
        <v>384</v>
      </c>
      <c r="H77" s="1" t="s">
        <v>3</v>
      </c>
      <c r="I77" s="1">
        <v>0</v>
      </c>
      <c r="J77" s="1"/>
      <c r="K77" s="1">
        <v>-1</v>
      </c>
      <c r="L77" s="1"/>
      <c r="M77" s="1"/>
      <c r="N77" s="1"/>
      <c r="O77" s="1"/>
      <c r="P77" s="1"/>
      <c r="Q77" s="1"/>
      <c r="R77" s="1"/>
      <c r="S77" s="1"/>
      <c r="T77" s="1"/>
      <c r="U77" s="1" t="s">
        <v>3</v>
      </c>
      <c r="V77" s="1">
        <v>0</v>
      </c>
      <c r="W77" s="1"/>
      <c r="X77" s="1"/>
      <c r="Y77" s="1"/>
      <c r="Z77" s="1"/>
      <c r="AA77" s="1"/>
      <c r="AB77" s="1" t="s">
        <v>3</v>
      </c>
      <c r="AC77" s="1" t="s">
        <v>3</v>
      </c>
      <c r="AD77" s="1" t="s">
        <v>3</v>
      </c>
      <c r="AE77" s="1" t="s">
        <v>3</v>
      </c>
      <c r="AF77" s="1" t="s">
        <v>3</v>
      </c>
      <c r="AG77" s="1" t="s">
        <v>3</v>
      </c>
      <c r="AH77" s="1"/>
      <c r="AI77" s="1"/>
      <c r="AJ77" s="1"/>
      <c r="AK77" s="1"/>
      <c r="AL77" s="1"/>
      <c r="AM77" s="1"/>
      <c r="AN77" s="1"/>
      <c r="AO77" s="1"/>
      <c r="AP77" s="1" t="s">
        <v>3</v>
      </c>
      <c r="AQ77" s="1" t="s">
        <v>3</v>
      </c>
      <c r="AR77" s="1" t="s">
        <v>3</v>
      </c>
      <c r="AS77" s="1"/>
      <c r="AT77" s="1"/>
      <c r="AU77" s="1"/>
      <c r="AV77" s="1"/>
      <c r="AW77" s="1"/>
      <c r="AX77" s="1"/>
      <c r="AY77" s="1"/>
      <c r="AZ77" s="1" t="s">
        <v>3</v>
      </c>
      <c r="BA77" s="1"/>
      <c r="BB77" s="1" t="s">
        <v>3</v>
      </c>
      <c r="BC77" s="1" t="s">
        <v>3</v>
      </c>
      <c r="BD77" s="1" t="s">
        <v>3</v>
      </c>
      <c r="BE77" s="1" t="s">
        <v>3</v>
      </c>
      <c r="BF77" s="1" t="s">
        <v>3</v>
      </c>
      <c r="BG77" s="1" t="s">
        <v>3</v>
      </c>
      <c r="BH77" s="1" t="s">
        <v>3</v>
      </c>
      <c r="BI77" s="1" t="s">
        <v>3</v>
      </c>
      <c r="BJ77" s="1" t="s">
        <v>3</v>
      </c>
      <c r="BK77" s="1" t="s">
        <v>3</v>
      </c>
      <c r="BL77" s="1" t="s">
        <v>3</v>
      </c>
      <c r="BM77" s="1" t="s">
        <v>3</v>
      </c>
      <c r="BN77" s="1" t="s">
        <v>3</v>
      </c>
      <c r="BO77" s="1" t="s">
        <v>3</v>
      </c>
      <c r="BP77" s="1" t="s">
        <v>3</v>
      </c>
      <c r="BQ77" s="1"/>
      <c r="BR77" s="1"/>
      <c r="BS77" s="1"/>
      <c r="BT77" s="1"/>
      <c r="BU77" s="1"/>
      <c r="BV77" s="1"/>
      <c r="BW77" s="1"/>
      <c r="BX77" s="1"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>
        <v>0</v>
      </c>
    </row>
    <row r="79" spans="1:118" ht="12.75">
      <c r="A79" s="2">
        <v>52</v>
      </c>
      <c r="B79" s="2">
        <f aca="true" t="shared" si="53" ref="B79:G79">B89</f>
        <v>1</v>
      </c>
      <c r="C79" s="2">
        <f t="shared" si="53"/>
        <v>4</v>
      </c>
      <c r="D79" s="2">
        <f t="shared" si="53"/>
        <v>77</v>
      </c>
      <c r="E79" s="2">
        <f t="shared" si="53"/>
        <v>0</v>
      </c>
      <c r="F79" s="2" t="str">
        <f t="shared" si="53"/>
        <v>Новый раздел</v>
      </c>
      <c r="G79" s="2" t="str">
        <f t="shared" si="53"/>
        <v>Текущий ремонт электрощитовой (помещение № 113)</v>
      </c>
      <c r="H79" s="2"/>
      <c r="I79" s="2"/>
      <c r="J79" s="2"/>
      <c r="K79" s="2"/>
      <c r="L79" s="2"/>
      <c r="M79" s="2"/>
      <c r="N79" s="2"/>
      <c r="O79" s="2">
        <f aca="true" t="shared" si="54" ref="O79:AT79">O89</f>
        <v>5076.59</v>
      </c>
      <c r="P79" s="2">
        <f t="shared" si="54"/>
        <v>1129.12</v>
      </c>
      <c r="Q79" s="2">
        <f t="shared" si="54"/>
        <v>349.12</v>
      </c>
      <c r="R79" s="2">
        <f t="shared" si="54"/>
        <v>171.69</v>
      </c>
      <c r="S79" s="2">
        <f t="shared" si="54"/>
        <v>3598.35</v>
      </c>
      <c r="T79" s="2">
        <f t="shared" si="54"/>
        <v>0</v>
      </c>
      <c r="U79" s="2">
        <f t="shared" si="54"/>
        <v>22.14</v>
      </c>
      <c r="V79" s="2">
        <f t="shared" si="54"/>
        <v>0</v>
      </c>
      <c r="W79" s="2">
        <f t="shared" si="54"/>
        <v>0</v>
      </c>
      <c r="X79" s="2">
        <f t="shared" si="54"/>
        <v>2923.47</v>
      </c>
      <c r="Y79" s="2">
        <f t="shared" si="54"/>
        <v>1583.27</v>
      </c>
      <c r="Z79" s="2">
        <f t="shared" si="54"/>
        <v>0</v>
      </c>
      <c r="AA79" s="2">
        <f t="shared" si="54"/>
        <v>0</v>
      </c>
      <c r="AB79" s="2">
        <f t="shared" si="54"/>
        <v>5076.59</v>
      </c>
      <c r="AC79" s="2">
        <f t="shared" si="54"/>
        <v>1129.12</v>
      </c>
      <c r="AD79" s="2">
        <f t="shared" si="54"/>
        <v>349.12</v>
      </c>
      <c r="AE79" s="2">
        <f t="shared" si="54"/>
        <v>171.69</v>
      </c>
      <c r="AF79" s="2">
        <f t="shared" si="54"/>
        <v>3598.35</v>
      </c>
      <c r="AG79" s="2">
        <f t="shared" si="54"/>
        <v>0</v>
      </c>
      <c r="AH79" s="2">
        <f t="shared" si="54"/>
        <v>22.14</v>
      </c>
      <c r="AI79" s="2">
        <f t="shared" si="54"/>
        <v>0</v>
      </c>
      <c r="AJ79" s="2">
        <f t="shared" si="54"/>
        <v>0</v>
      </c>
      <c r="AK79" s="2">
        <f t="shared" si="54"/>
        <v>2923.47</v>
      </c>
      <c r="AL79" s="2">
        <f t="shared" si="54"/>
        <v>1583.27</v>
      </c>
      <c r="AM79" s="2">
        <f t="shared" si="54"/>
        <v>0</v>
      </c>
      <c r="AN79" s="2">
        <f t="shared" si="54"/>
        <v>0</v>
      </c>
      <c r="AO79" s="2">
        <f t="shared" si="54"/>
        <v>0</v>
      </c>
      <c r="AP79" s="2">
        <f t="shared" si="54"/>
        <v>0</v>
      </c>
      <c r="AQ79" s="2">
        <f t="shared" si="54"/>
        <v>0</v>
      </c>
      <c r="AR79" s="2">
        <f t="shared" si="54"/>
        <v>9873.48</v>
      </c>
      <c r="AS79" s="2">
        <f t="shared" si="54"/>
        <v>9873.48</v>
      </c>
      <c r="AT79" s="2">
        <f t="shared" si="54"/>
        <v>0</v>
      </c>
      <c r="AU79" s="2">
        <f aca="true" t="shared" si="55" ref="AU79:BZ79">AU89</f>
        <v>0</v>
      </c>
      <c r="AV79" s="2">
        <f t="shared" si="55"/>
        <v>0</v>
      </c>
      <c r="AW79" s="2">
        <f t="shared" si="55"/>
        <v>0</v>
      </c>
      <c r="AX79" s="2">
        <f t="shared" si="55"/>
        <v>0</v>
      </c>
      <c r="AY79" s="2">
        <f t="shared" si="55"/>
        <v>0</v>
      </c>
      <c r="AZ79" s="2">
        <f t="shared" si="55"/>
        <v>0</v>
      </c>
      <c r="BA79" s="2">
        <f t="shared" si="55"/>
        <v>0</v>
      </c>
      <c r="BB79" s="2">
        <f t="shared" si="55"/>
        <v>0</v>
      </c>
      <c r="BC79" s="2">
        <f t="shared" si="55"/>
        <v>0</v>
      </c>
      <c r="BD79" s="2">
        <f t="shared" si="55"/>
        <v>0</v>
      </c>
      <c r="BE79" s="2">
        <f t="shared" si="55"/>
        <v>9873.48</v>
      </c>
      <c r="BF79" s="2">
        <f t="shared" si="55"/>
        <v>9873.48</v>
      </c>
      <c r="BG79" s="2">
        <f t="shared" si="55"/>
        <v>0</v>
      </c>
      <c r="BH79" s="2">
        <f t="shared" si="55"/>
        <v>0</v>
      </c>
      <c r="BI79" s="2">
        <f t="shared" si="55"/>
        <v>0</v>
      </c>
      <c r="BJ79" s="2">
        <f t="shared" si="55"/>
        <v>0</v>
      </c>
      <c r="BK79" s="2">
        <f t="shared" si="55"/>
        <v>0</v>
      </c>
      <c r="BL79" s="2">
        <f t="shared" si="55"/>
        <v>0</v>
      </c>
      <c r="BM79" s="2">
        <f t="shared" si="55"/>
        <v>0</v>
      </c>
      <c r="BN79" s="2">
        <f t="shared" si="55"/>
        <v>0</v>
      </c>
      <c r="BO79" s="3">
        <f t="shared" si="55"/>
        <v>0</v>
      </c>
      <c r="BP79" s="3">
        <f t="shared" si="55"/>
        <v>0</v>
      </c>
      <c r="BQ79" s="3">
        <f t="shared" si="55"/>
        <v>0</v>
      </c>
      <c r="BR79" s="3">
        <f t="shared" si="55"/>
        <v>0</v>
      </c>
      <c r="BS79" s="3">
        <f t="shared" si="55"/>
        <v>0</v>
      </c>
      <c r="BT79" s="3">
        <f t="shared" si="55"/>
        <v>0</v>
      </c>
      <c r="BU79" s="3">
        <f t="shared" si="55"/>
        <v>0</v>
      </c>
      <c r="BV79" s="3">
        <f t="shared" si="55"/>
        <v>0</v>
      </c>
      <c r="BW79" s="3">
        <f t="shared" si="55"/>
        <v>0</v>
      </c>
      <c r="BX79" s="3">
        <f t="shared" si="55"/>
        <v>0</v>
      </c>
      <c r="BY79" s="3">
        <f t="shared" si="55"/>
        <v>0</v>
      </c>
      <c r="BZ79" s="3">
        <f t="shared" si="55"/>
        <v>0</v>
      </c>
      <c r="CA79" s="3">
        <f aca="true" t="shared" si="56" ref="CA79:DF79">CA89</f>
        <v>0</v>
      </c>
      <c r="CB79" s="3">
        <f t="shared" si="56"/>
        <v>0</v>
      </c>
      <c r="CC79" s="3">
        <f t="shared" si="56"/>
        <v>0</v>
      </c>
      <c r="CD79" s="3">
        <f t="shared" si="56"/>
        <v>0</v>
      </c>
      <c r="CE79" s="3">
        <f t="shared" si="56"/>
        <v>0</v>
      </c>
      <c r="CF79" s="3">
        <f t="shared" si="56"/>
        <v>0</v>
      </c>
      <c r="CG79" s="3">
        <f t="shared" si="56"/>
        <v>0</v>
      </c>
      <c r="CH79" s="3">
        <f t="shared" si="56"/>
        <v>0</v>
      </c>
      <c r="CI79" s="3">
        <f t="shared" si="56"/>
        <v>0</v>
      </c>
      <c r="CJ79" s="3">
        <f t="shared" si="56"/>
        <v>0</v>
      </c>
      <c r="CK79" s="3">
        <f t="shared" si="56"/>
        <v>0</v>
      </c>
      <c r="CL79" s="3">
        <f t="shared" si="56"/>
        <v>0</v>
      </c>
      <c r="CM79" s="3">
        <f t="shared" si="56"/>
        <v>0</v>
      </c>
      <c r="CN79" s="3">
        <f t="shared" si="56"/>
        <v>0</v>
      </c>
      <c r="CO79" s="3">
        <f t="shared" si="56"/>
        <v>0</v>
      </c>
      <c r="CP79" s="3">
        <f t="shared" si="56"/>
        <v>0</v>
      </c>
      <c r="CQ79" s="3">
        <f t="shared" si="56"/>
        <v>0</v>
      </c>
      <c r="CR79" s="3">
        <f t="shared" si="56"/>
        <v>0</v>
      </c>
      <c r="CS79" s="3">
        <f t="shared" si="56"/>
        <v>0</v>
      </c>
      <c r="CT79" s="3">
        <f t="shared" si="56"/>
        <v>0</v>
      </c>
      <c r="CU79" s="3">
        <f t="shared" si="56"/>
        <v>0</v>
      </c>
      <c r="CV79" s="3">
        <f t="shared" si="56"/>
        <v>0</v>
      </c>
      <c r="CW79" s="3">
        <f t="shared" si="56"/>
        <v>0</v>
      </c>
      <c r="CX79" s="3">
        <f t="shared" si="56"/>
        <v>0</v>
      </c>
      <c r="CY79" s="3">
        <f t="shared" si="56"/>
        <v>0</v>
      </c>
      <c r="CZ79" s="3">
        <f t="shared" si="56"/>
        <v>0</v>
      </c>
      <c r="DA79" s="3">
        <f t="shared" si="56"/>
        <v>0</v>
      </c>
      <c r="DB79" s="3">
        <f t="shared" si="56"/>
        <v>0</v>
      </c>
      <c r="DC79" s="3">
        <f t="shared" si="56"/>
        <v>0</v>
      </c>
      <c r="DD79" s="3">
        <f t="shared" si="56"/>
        <v>0</v>
      </c>
      <c r="DE79" s="3">
        <f t="shared" si="56"/>
        <v>0</v>
      </c>
      <c r="DF79" s="3">
        <f t="shared" si="56"/>
        <v>0</v>
      </c>
      <c r="DG79" s="3">
        <f aca="true" t="shared" si="57" ref="DG79:DN79">DG89</f>
        <v>0</v>
      </c>
      <c r="DH79" s="3">
        <f t="shared" si="57"/>
        <v>0</v>
      </c>
      <c r="DI79" s="3">
        <f t="shared" si="57"/>
        <v>0</v>
      </c>
      <c r="DJ79" s="3">
        <f t="shared" si="57"/>
        <v>0</v>
      </c>
      <c r="DK79" s="3">
        <f t="shared" si="57"/>
        <v>0</v>
      </c>
      <c r="DL79" s="3">
        <f t="shared" si="57"/>
        <v>0</v>
      </c>
      <c r="DM79" s="3">
        <f t="shared" si="57"/>
        <v>0</v>
      </c>
      <c r="DN79" s="3">
        <f t="shared" si="57"/>
        <v>0</v>
      </c>
    </row>
    <row r="81" spans="1:200" ht="12.75">
      <c r="A81">
        <v>17</v>
      </c>
      <c r="B81">
        <v>1</v>
      </c>
      <c r="C81">
        <f>ROW(SmtRes!A56)</f>
        <v>56</v>
      </c>
      <c r="D81">
        <f>ROW(EtalonRes!A57)</f>
        <v>57</v>
      </c>
      <c r="E81" t="s">
        <v>18</v>
      </c>
      <c r="F81" t="s">
        <v>187</v>
      </c>
      <c r="G81" t="s">
        <v>188</v>
      </c>
      <c r="H81" t="s">
        <v>29</v>
      </c>
      <c r="I81">
        <v>0.15</v>
      </c>
      <c r="J81">
        <v>0</v>
      </c>
      <c r="O81">
        <f aca="true" t="shared" si="58" ref="O81:O87">ROUND(CP81,2)</f>
        <v>1039.48</v>
      </c>
      <c r="P81">
        <f aca="true" t="shared" si="59" ref="P81:P87">ROUND(CQ81*I81,2)</f>
        <v>0</v>
      </c>
      <c r="Q81">
        <f aca="true" t="shared" si="60" ref="Q81:Q87">ROUND(CR81*I81,2)</f>
        <v>0</v>
      </c>
      <c r="R81">
        <f aca="true" t="shared" si="61" ref="R81:R87">ROUND(CS81*I81,2)</f>
        <v>0</v>
      </c>
      <c r="S81">
        <f aca="true" t="shared" si="62" ref="S81:S87">ROUND(CT81*I81,2)</f>
        <v>1039.48</v>
      </c>
      <c r="T81">
        <f aca="true" t="shared" si="63" ref="T81:T87">ROUND(CU81*I81,2)</f>
        <v>0</v>
      </c>
      <c r="U81">
        <f aca="true" t="shared" si="64" ref="U81:U87">CV81*I81</f>
        <v>7.365</v>
      </c>
      <c r="V81">
        <f aca="true" t="shared" si="65" ref="V81:V87">CW81*I81</f>
        <v>0</v>
      </c>
      <c r="W81">
        <f aca="true" t="shared" si="66" ref="W81:W87">ROUND(CX81*I81,2)</f>
        <v>0</v>
      </c>
      <c r="X81">
        <f aca="true" t="shared" si="67" ref="X81:Y87">ROUND(CY81,2)</f>
        <v>748.43</v>
      </c>
      <c r="Y81">
        <f t="shared" si="67"/>
        <v>457.37</v>
      </c>
      <c r="AA81">
        <v>16903935</v>
      </c>
      <c r="AB81">
        <f aca="true" t="shared" si="68" ref="AB81:AB87">ROUND((AC81+AD81+AF81),6)</f>
        <v>501.8</v>
      </c>
      <c r="AC81">
        <f aca="true" t="shared" si="69" ref="AC81:AC87">ROUND((ES81),6)</f>
        <v>0</v>
      </c>
      <c r="AD81">
        <f>ROUND((((ET81)-(EU81))+AE81),6)</f>
        <v>0</v>
      </c>
      <c r="AE81">
        <f>ROUND((EU81),6)</f>
        <v>0</v>
      </c>
      <c r="AF81">
        <f>ROUND((EV81),6)</f>
        <v>501.8</v>
      </c>
      <c r="AG81">
        <f aca="true" t="shared" si="70" ref="AG81:AG87">ROUND((AP81),6)</f>
        <v>0</v>
      </c>
      <c r="AH81">
        <f>(EW81)</f>
        <v>49.1</v>
      </c>
      <c r="AI81">
        <f>(EX81)</f>
        <v>0</v>
      </c>
      <c r="AJ81">
        <f aca="true" t="shared" si="71" ref="AJ81:AJ87">ROUND((AS81),6)</f>
        <v>0</v>
      </c>
      <c r="AK81">
        <v>501.8</v>
      </c>
      <c r="AL81">
        <v>0</v>
      </c>
      <c r="AM81">
        <v>0</v>
      </c>
      <c r="AN81">
        <v>0</v>
      </c>
      <c r="AO81">
        <v>501.8</v>
      </c>
      <c r="AP81">
        <v>0</v>
      </c>
      <c r="AQ81">
        <v>49.1</v>
      </c>
      <c r="AR81">
        <v>0</v>
      </c>
      <c r="AS81">
        <v>0</v>
      </c>
      <c r="AT81">
        <v>72</v>
      </c>
      <c r="AU81">
        <v>44</v>
      </c>
      <c r="AV81">
        <v>1</v>
      </c>
      <c r="AW81">
        <v>1</v>
      </c>
      <c r="AZ81">
        <v>1</v>
      </c>
      <c r="BA81">
        <v>13.81</v>
      </c>
      <c r="BB81">
        <v>1</v>
      </c>
      <c r="BC81">
        <v>1</v>
      </c>
      <c r="BH81">
        <v>0</v>
      </c>
      <c r="BI81">
        <v>1</v>
      </c>
      <c r="BJ81" t="s">
        <v>189</v>
      </c>
      <c r="BM81">
        <v>456</v>
      </c>
      <c r="BN81">
        <v>0</v>
      </c>
      <c r="BO81" t="s">
        <v>187</v>
      </c>
      <c r="BP81">
        <v>1</v>
      </c>
      <c r="BQ81">
        <v>60</v>
      </c>
      <c r="BS81">
        <v>13.81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72</v>
      </c>
      <c r="CA81">
        <v>44</v>
      </c>
      <c r="CF81">
        <v>0</v>
      </c>
      <c r="CG81">
        <v>0</v>
      </c>
      <c r="CM81">
        <v>0</v>
      </c>
      <c r="CO81">
        <v>0</v>
      </c>
      <c r="CP81">
        <f aca="true" t="shared" si="72" ref="CP81:CP87">(P81+Q81+S81)</f>
        <v>1039.48</v>
      </c>
      <c r="CQ81">
        <f aca="true" t="shared" si="73" ref="CQ81:CQ87">((AC81*AW81))*BC81</f>
        <v>0</v>
      </c>
      <c r="CR81">
        <f aca="true" t="shared" si="74" ref="CR81:CR87">((AD81*AV81))*BB81</f>
        <v>0</v>
      </c>
      <c r="CS81">
        <f aca="true" t="shared" si="75" ref="CS81:CS87">((AE81*AV81))*BS81</f>
        <v>0</v>
      </c>
      <c r="CT81">
        <f aca="true" t="shared" si="76" ref="CT81:CT87">((AF81*AV81))*BA81</f>
        <v>6929.858</v>
      </c>
      <c r="CU81">
        <f aca="true" t="shared" si="77" ref="CU81:CU87">AG81</f>
        <v>0</v>
      </c>
      <c r="CV81">
        <f aca="true" t="shared" si="78" ref="CV81:CV87">(AH81*AV81)</f>
        <v>49.1</v>
      </c>
      <c r="CW81">
        <f aca="true" t="shared" si="79" ref="CW81:CX87">AI81</f>
        <v>0</v>
      </c>
      <c r="CX81">
        <f t="shared" si="79"/>
        <v>0</v>
      </c>
      <c r="CY81">
        <f aca="true" t="shared" si="80" ref="CY81:CY87">S81*(BZ81/100)</f>
        <v>748.4256</v>
      </c>
      <c r="CZ81">
        <f aca="true" t="shared" si="81" ref="CZ81:CZ87">S81*(CA81/100)</f>
        <v>457.3712</v>
      </c>
      <c r="DN81">
        <v>80</v>
      </c>
      <c r="DO81">
        <v>55</v>
      </c>
      <c r="DP81">
        <v>1.047</v>
      </c>
      <c r="DQ81">
        <v>1</v>
      </c>
      <c r="DU81">
        <v>1005</v>
      </c>
      <c r="DV81" t="s">
        <v>29</v>
      </c>
      <c r="DW81" t="s">
        <v>29</v>
      </c>
      <c r="DX81">
        <v>100</v>
      </c>
      <c r="EE81">
        <v>16350319</v>
      </c>
      <c r="EF81">
        <v>60</v>
      </c>
      <c r="EG81" t="s">
        <v>23</v>
      </c>
      <c r="EH81">
        <v>0</v>
      </c>
      <c r="EJ81">
        <v>1</v>
      </c>
      <c r="EK81">
        <v>456</v>
      </c>
      <c r="EL81" t="s">
        <v>190</v>
      </c>
      <c r="EM81" t="s">
        <v>191</v>
      </c>
      <c r="EQ81">
        <v>0</v>
      </c>
      <c r="ER81">
        <v>501.8</v>
      </c>
      <c r="ES81">
        <v>0</v>
      </c>
      <c r="ET81">
        <v>0</v>
      </c>
      <c r="EU81">
        <v>0</v>
      </c>
      <c r="EV81">
        <v>501.8</v>
      </c>
      <c r="EW81">
        <v>49.1</v>
      </c>
      <c r="EX81">
        <v>0</v>
      </c>
      <c r="EY81">
        <v>0</v>
      </c>
      <c r="EZ81">
        <v>0</v>
      </c>
      <c r="FQ81">
        <v>0</v>
      </c>
      <c r="FR81">
        <f aca="true" t="shared" si="82" ref="FR81:FR87">ROUND(IF(AND(BH81=3,BI81=3),P81,0),2)</f>
        <v>0</v>
      </c>
      <c r="FS81">
        <v>0</v>
      </c>
      <c r="FX81">
        <v>72</v>
      </c>
      <c r="FY81">
        <v>44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aca="true" t="shared" si="83" ref="GL81:GL87">ROUND(IF(AND(BH81=3,BI81=3,FS81&lt;&gt;0),P81,0),2)</f>
        <v>0</v>
      </c>
      <c r="GM81">
        <f aca="true" t="shared" si="84" ref="GM81:GM87">O81+X81+Y81+GK81</f>
        <v>2245.2799999999997</v>
      </c>
      <c r="GN81">
        <f aca="true" t="shared" si="85" ref="GN81:GN87">ROUND(IF(OR(BI81=0,BI81=1),O81+X81+Y81+GK81,0),2)</f>
        <v>2245.28</v>
      </c>
      <c r="GO81">
        <f aca="true" t="shared" si="86" ref="GO81:GO87">ROUND(IF(BI81=2,O81+X81+Y81+GK81,0),2)</f>
        <v>0</v>
      </c>
      <c r="GP81">
        <f aca="true" t="shared" si="87" ref="GP81:GP87">ROUND(IF(BI81=4,O81+X81+Y81+GK81,0),2)</f>
        <v>0</v>
      </c>
      <c r="GR81">
        <v>0</v>
      </c>
    </row>
    <row r="82" spans="1:200" ht="12.75">
      <c r="A82">
        <v>17</v>
      </c>
      <c r="B82">
        <v>1</v>
      </c>
      <c r="C82">
        <f>ROW(SmtRes!A63)</f>
        <v>63</v>
      </c>
      <c r="D82">
        <f>ROW(EtalonRes!A65)</f>
        <v>65</v>
      </c>
      <c r="E82" t="s">
        <v>26</v>
      </c>
      <c r="F82" t="s">
        <v>192</v>
      </c>
      <c r="G82" t="s">
        <v>193</v>
      </c>
      <c r="H82" t="s">
        <v>29</v>
      </c>
      <c r="I82">
        <v>0.15</v>
      </c>
      <c r="J82">
        <v>0</v>
      </c>
      <c r="O82">
        <f t="shared" si="58"/>
        <v>2615.77</v>
      </c>
      <c r="P82">
        <f t="shared" si="59"/>
        <v>134.67</v>
      </c>
      <c r="Q82">
        <f t="shared" si="60"/>
        <v>326.74</v>
      </c>
      <c r="R82">
        <f t="shared" si="61"/>
        <v>162.47</v>
      </c>
      <c r="S82">
        <f t="shared" si="62"/>
        <v>2154.36</v>
      </c>
      <c r="T82">
        <f t="shared" si="63"/>
        <v>0</v>
      </c>
      <c r="U82">
        <f t="shared" si="64"/>
        <v>12.1875</v>
      </c>
      <c r="V82">
        <f t="shared" si="65"/>
        <v>0</v>
      </c>
      <c r="W82">
        <f t="shared" si="66"/>
        <v>0</v>
      </c>
      <c r="X82">
        <f t="shared" si="67"/>
        <v>1831.21</v>
      </c>
      <c r="Y82">
        <f t="shared" si="67"/>
        <v>947.92</v>
      </c>
      <c r="AA82">
        <v>16903935</v>
      </c>
      <c r="AB82">
        <f t="shared" si="68"/>
        <v>1451.3565</v>
      </c>
      <c r="AC82">
        <f t="shared" si="69"/>
        <v>95.21</v>
      </c>
      <c r="AD82">
        <f>ROUND(((((ET82*1.15))-((EU82*1.15)))+AE82),6)</f>
        <v>316.1465</v>
      </c>
      <c r="AE82">
        <f>ROUND(((EU82*1.15)),6)</f>
        <v>78.43</v>
      </c>
      <c r="AF82">
        <f>ROUND(((EV82*1.25)),6)</f>
        <v>1040</v>
      </c>
      <c r="AG82">
        <f t="shared" si="70"/>
        <v>0</v>
      </c>
      <c r="AH82">
        <f>((EW82*1.25))</f>
        <v>81.25</v>
      </c>
      <c r="AI82">
        <f>((EX82*1.15))</f>
        <v>0</v>
      </c>
      <c r="AJ82">
        <f t="shared" si="71"/>
        <v>0</v>
      </c>
      <c r="AK82">
        <v>1202.12</v>
      </c>
      <c r="AL82">
        <v>95.21</v>
      </c>
      <c r="AM82">
        <v>274.91</v>
      </c>
      <c r="AN82">
        <v>68.2</v>
      </c>
      <c r="AO82">
        <v>832</v>
      </c>
      <c r="AP82">
        <v>0</v>
      </c>
      <c r="AQ82">
        <v>65</v>
      </c>
      <c r="AR82">
        <v>0</v>
      </c>
      <c r="AS82">
        <v>0</v>
      </c>
      <c r="AT82">
        <v>85</v>
      </c>
      <c r="AU82">
        <v>44</v>
      </c>
      <c r="AV82">
        <v>1</v>
      </c>
      <c r="AW82">
        <v>1</v>
      </c>
      <c r="AZ82">
        <v>1</v>
      </c>
      <c r="BA82">
        <v>13.81</v>
      </c>
      <c r="BB82">
        <v>6.89</v>
      </c>
      <c r="BC82">
        <v>9.43</v>
      </c>
      <c r="BH82">
        <v>0</v>
      </c>
      <c r="BI82">
        <v>1</v>
      </c>
      <c r="BJ82" t="s">
        <v>194</v>
      </c>
      <c r="BM82">
        <v>115</v>
      </c>
      <c r="BN82">
        <v>0</v>
      </c>
      <c r="BO82" t="s">
        <v>192</v>
      </c>
      <c r="BP82">
        <v>1</v>
      </c>
      <c r="BQ82">
        <v>30</v>
      </c>
      <c r="BS82">
        <v>13.81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85</v>
      </c>
      <c r="CA82">
        <v>44</v>
      </c>
      <c r="CF82">
        <v>0</v>
      </c>
      <c r="CG82">
        <v>0</v>
      </c>
      <c r="CM82">
        <v>0</v>
      </c>
      <c r="CO82">
        <v>0</v>
      </c>
      <c r="CP82">
        <f t="shared" si="72"/>
        <v>2615.77</v>
      </c>
      <c r="CQ82">
        <f t="shared" si="73"/>
        <v>897.8303</v>
      </c>
      <c r="CR82">
        <f t="shared" si="74"/>
        <v>2178.249385</v>
      </c>
      <c r="CS82">
        <f t="shared" si="75"/>
        <v>1083.1183</v>
      </c>
      <c r="CT82">
        <f t="shared" si="76"/>
        <v>14362.4</v>
      </c>
      <c r="CU82">
        <f t="shared" si="77"/>
        <v>0</v>
      </c>
      <c r="CV82">
        <f t="shared" si="78"/>
        <v>81.25</v>
      </c>
      <c r="CW82">
        <f t="shared" si="79"/>
        <v>0</v>
      </c>
      <c r="CX82">
        <f t="shared" si="79"/>
        <v>0</v>
      </c>
      <c r="CY82">
        <f t="shared" si="80"/>
        <v>1831.2060000000001</v>
      </c>
      <c r="CZ82">
        <f t="shared" si="81"/>
        <v>947.9184</v>
      </c>
      <c r="DE82" t="s">
        <v>32</v>
      </c>
      <c r="DF82" t="s">
        <v>32</v>
      </c>
      <c r="DG82" t="s">
        <v>31</v>
      </c>
      <c r="DI82" t="s">
        <v>31</v>
      </c>
      <c r="DJ82" t="s">
        <v>32</v>
      </c>
      <c r="DN82">
        <v>100</v>
      </c>
      <c r="DO82">
        <v>64</v>
      </c>
      <c r="DP82">
        <v>1.025</v>
      </c>
      <c r="DQ82">
        <v>1</v>
      </c>
      <c r="DU82">
        <v>1005</v>
      </c>
      <c r="DV82" t="s">
        <v>29</v>
      </c>
      <c r="DW82" t="s">
        <v>29</v>
      </c>
      <c r="DX82">
        <v>100</v>
      </c>
      <c r="EE82">
        <v>16349978</v>
      </c>
      <c r="EF82">
        <v>30</v>
      </c>
      <c r="EG82" t="s">
        <v>37</v>
      </c>
      <c r="EH82">
        <v>0</v>
      </c>
      <c r="EJ82">
        <v>1</v>
      </c>
      <c r="EK82">
        <v>115</v>
      </c>
      <c r="EL82" t="s">
        <v>195</v>
      </c>
      <c r="EM82" t="s">
        <v>196</v>
      </c>
      <c r="EQ82">
        <v>0</v>
      </c>
      <c r="ER82">
        <v>1202.12</v>
      </c>
      <c r="ES82">
        <v>95.21</v>
      </c>
      <c r="ET82">
        <v>274.91</v>
      </c>
      <c r="EU82">
        <v>68.2</v>
      </c>
      <c r="EV82">
        <v>832</v>
      </c>
      <c r="EW82">
        <v>65</v>
      </c>
      <c r="EX82">
        <v>0</v>
      </c>
      <c r="EY82">
        <v>0</v>
      </c>
      <c r="EZ82">
        <v>0</v>
      </c>
      <c r="FQ82">
        <v>0</v>
      </c>
      <c r="FR82">
        <f t="shared" si="82"/>
        <v>0</v>
      </c>
      <c r="FS82">
        <v>0</v>
      </c>
      <c r="FX82">
        <v>85</v>
      </c>
      <c r="FY82">
        <v>44</v>
      </c>
      <c r="GG82">
        <v>2</v>
      </c>
      <c r="GH82">
        <v>1</v>
      </c>
      <c r="GI82">
        <v>2</v>
      </c>
      <c r="GJ82">
        <v>0</v>
      </c>
      <c r="GK82">
        <f>ROUND(R82*(R12)/100,2)</f>
        <v>274.57</v>
      </c>
      <c r="GL82">
        <f t="shared" si="83"/>
        <v>0</v>
      </c>
      <c r="GM82">
        <f t="shared" si="84"/>
        <v>5669.469999999999</v>
      </c>
      <c r="GN82">
        <f t="shared" si="85"/>
        <v>5669.47</v>
      </c>
      <c r="GO82">
        <f t="shared" si="86"/>
        <v>0</v>
      </c>
      <c r="GP82">
        <f t="shared" si="87"/>
        <v>0</v>
      </c>
      <c r="GR82">
        <v>0</v>
      </c>
    </row>
    <row r="83" spans="1:200" ht="12.75">
      <c r="A83">
        <v>18</v>
      </c>
      <c r="B83">
        <v>1</v>
      </c>
      <c r="C83">
        <v>62</v>
      </c>
      <c r="E83" t="s">
        <v>197</v>
      </c>
      <c r="F83" t="s">
        <v>198</v>
      </c>
      <c r="G83" t="s">
        <v>199</v>
      </c>
      <c r="H83" t="s">
        <v>48</v>
      </c>
      <c r="I83">
        <f>I82*J83</f>
        <v>0.072</v>
      </c>
      <c r="J83">
        <v>0.48</v>
      </c>
      <c r="O83">
        <f t="shared" si="58"/>
        <v>251.27</v>
      </c>
      <c r="P83">
        <f t="shared" si="59"/>
        <v>251.27</v>
      </c>
      <c r="Q83">
        <f t="shared" si="60"/>
        <v>0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7"/>
        <v>0</v>
      </c>
      <c r="AA83">
        <v>16903935</v>
      </c>
      <c r="AB83">
        <f t="shared" si="68"/>
        <v>796.76</v>
      </c>
      <c r="AC83">
        <f t="shared" si="69"/>
        <v>796.76</v>
      </c>
      <c r="AD83">
        <f>ROUND((((ET83)-(EU83))+AE83),6)</f>
        <v>0</v>
      </c>
      <c r="AE83">
        <f>ROUND((EU83),6)</f>
        <v>0</v>
      </c>
      <c r="AF83">
        <f>ROUND((EV83),6)</f>
        <v>0</v>
      </c>
      <c r="AG83">
        <f t="shared" si="70"/>
        <v>0</v>
      </c>
      <c r="AH83">
        <f>(EW83)</f>
        <v>0</v>
      </c>
      <c r="AI83">
        <f>(EX83)</f>
        <v>0</v>
      </c>
      <c r="AJ83">
        <f t="shared" si="71"/>
        <v>0</v>
      </c>
      <c r="AK83">
        <v>796.76</v>
      </c>
      <c r="AL83">
        <v>796.76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4.38</v>
      </c>
      <c r="BH83">
        <v>3</v>
      </c>
      <c r="BI83">
        <v>1</v>
      </c>
      <c r="BJ83" t="s">
        <v>200</v>
      </c>
      <c r="BM83">
        <v>115</v>
      </c>
      <c r="BN83">
        <v>0</v>
      </c>
      <c r="BO83" t="s">
        <v>198</v>
      </c>
      <c r="BP83">
        <v>1</v>
      </c>
      <c r="BQ83">
        <v>30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72"/>
        <v>251.27</v>
      </c>
      <c r="CQ83">
        <f t="shared" si="73"/>
        <v>3489.8088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79"/>
        <v>0</v>
      </c>
      <c r="CY83">
        <f t="shared" si="80"/>
        <v>0</v>
      </c>
      <c r="CZ83">
        <f t="shared" si="81"/>
        <v>0</v>
      </c>
      <c r="DN83">
        <v>100</v>
      </c>
      <c r="DO83">
        <v>64</v>
      </c>
      <c r="DP83">
        <v>1.025</v>
      </c>
      <c r="DQ83">
        <v>1</v>
      </c>
      <c r="DU83">
        <v>1009</v>
      </c>
      <c r="DV83" t="s">
        <v>48</v>
      </c>
      <c r="DW83" t="s">
        <v>48</v>
      </c>
      <c r="DX83">
        <v>1000</v>
      </c>
      <c r="EE83">
        <v>16349978</v>
      </c>
      <c r="EF83">
        <v>30</v>
      </c>
      <c r="EG83" t="s">
        <v>37</v>
      </c>
      <c r="EH83">
        <v>0</v>
      </c>
      <c r="EJ83">
        <v>1</v>
      </c>
      <c r="EK83">
        <v>115</v>
      </c>
      <c r="EL83" t="s">
        <v>195</v>
      </c>
      <c r="EM83" t="s">
        <v>196</v>
      </c>
      <c r="EQ83">
        <v>0</v>
      </c>
      <c r="ER83">
        <v>796.76</v>
      </c>
      <c r="ES83">
        <v>796.76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0</v>
      </c>
      <c r="FQ83">
        <v>0</v>
      </c>
      <c r="FR83">
        <f t="shared" si="82"/>
        <v>0</v>
      </c>
      <c r="FS83">
        <v>0</v>
      </c>
      <c r="FX83">
        <v>0</v>
      </c>
      <c r="FY83">
        <v>0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83"/>
        <v>0</v>
      </c>
      <c r="GM83">
        <f t="shared" si="84"/>
        <v>251.27</v>
      </c>
      <c r="GN83">
        <f t="shared" si="85"/>
        <v>251.27</v>
      </c>
      <c r="GO83">
        <f t="shared" si="86"/>
        <v>0</v>
      </c>
      <c r="GP83">
        <f t="shared" si="87"/>
        <v>0</v>
      </c>
      <c r="GR83">
        <v>0</v>
      </c>
    </row>
    <row r="84" spans="1:200" ht="12.75">
      <c r="A84">
        <v>18</v>
      </c>
      <c r="B84">
        <v>1</v>
      </c>
      <c r="C84">
        <v>63</v>
      </c>
      <c r="E84" t="s">
        <v>201</v>
      </c>
      <c r="F84" t="s">
        <v>202</v>
      </c>
      <c r="G84" t="s">
        <v>203</v>
      </c>
      <c r="H84" t="s">
        <v>90</v>
      </c>
      <c r="I84">
        <f>I82*J84</f>
        <v>0.1812</v>
      </c>
      <c r="J84">
        <v>1.208</v>
      </c>
      <c r="O84">
        <f t="shared" si="58"/>
        <v>446.38</v>
      </c>
      <c r="P84">
        <f t="shared" si="59"/>
        <v>446.38</v>
      </c>
      <c r="Q84">
        <f t="shared" si="60"/>
        <v>0</v>
      </c>
      <c r="R84">
        <f t="shared" si="61"/>
        <v>0</v>
      </c>
      <c r="S84">
        <f t="shared" si="62"/>
        <v>0</v>
      </c>
      <c r="T84">
        <f t="shared" si="63"/>
        <v>0</v>
      </c>
      <c r="U84">
        <f t="shared" si="64"/>
        <v>0</v>
      </c>
      <c r="V84">
        <f t="shared" si="65"/>
        <v>0</v>
      </c>
      <c r="W84">
        <f t="shared" si="66"/>
        <v>0</v>
      </c>
      <c r="X84">
        <f t="shared" si="67"/>
        <v>0</v>
      </c>
      <c r="Y84">
        <f t="shared" si="67"/>
        <v>0</v>
      </c>
      <c r="AA84">
        <v>16903935</v>
      </c>
      <c r="AB84">
        <f t="shared" si="68"/>
        <v>396.06</v>
      </c>
      <c r="AC84">
        <f t="shared" si="69"/>
        <v>396.06</v>
      </c>
      <c r="AD84">
        <f>ROUND((((ET84)-(EU84))+AE84),6)</f>
        <v>0</v>
      </c>
      <c r="AE84">
        <f>ROUND((EU84),6)</f>
        <v>0</v>
      </c>
      <c r="AF84">
        <f>ROUND((EV84),6)</f>
        <v>0</v>
      </c>
      <c r="AG84">
        <f t="shared" si="70"/>
        <v>0</v>
      </c>
      <c r="AH84">
        <f>(EW84)</f>
        <v>0</v>
      </c>
      <c r="AI84">
        <f>(EX84)</f>
        <v>0</v>
      </c>
      <c r="AJ84">
        <f t="shared" si="71"/>
        <v>0</v>
      </c>
      <c r="AK84">
        <v>396.06</v>
      </c>
      <c r="AL84">
        <v>396.06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6.22</v>
      </c>
      <c r="BH84">
        <v>3</v>
      </c>
      <c r="BI84">
        <v>1</v>
      </c>
      <c r="BJ84" t="s">
        <v>204</v>
      </c>
      <c r="BM84">
        <v>115</v>
      </c>
      <c r="BN84">
        <v>0</v>
      </c>
      <c r="BO84" t="s">
        <v>202</v>
      </c>
      <c r="BP84">
        <v>1</v>
      </c>
      <c r="BQ84">
        <v>30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72"/>
        <v>446.38</v>
      </c>
      <c r="CQ84">
        <f t="shared" si="73"/>
        <v>2463.4932</v>
      </c>
      <c r="CR84">
        <f t="shared" si="74"/>
        <v>0</v>
      </c>
      <c r="CS84">
        <f t="shared" si="75"/>
        <v>0</v>
      </c>
      <c r="CT84">
        <f t="shared" si="76"/>
        <v>0</v>
      </c>
      <c r="CU84">
        <f t="shared" si="77"/>
        <v>0</v>
      </c>
      <c r="CV84">
        <f t="shared" si="78"/>
        <v>0</v>
      </c>
      <c r="CW84">
        <f t="shared" si="79"/>
        <v>0</v>
      </c>
      <c r="CX84">
        <f t="shared" si="79"/>
        <v>0</v>
      </c>
      <c r="CY84">
        <f t="shared" si="80"/>
        <v>0</v>
      </c>
      <c r="CZ84">
        <f t="shared" si="81"/>
        <v>0</v>
      </c>
      <c r="DN84">
        <v>100</v>
      </c>
      <c r="DO84">
        <v>64</v>
      </c>
      <c r="DP84">
        <v>1.025</v>
      </c>
      <c r="DQ84">
        <v>1</v>
      </c>
      <c r="DU84">
        <v>1007</v>
      </c>
      <c r="DV84" t="s">
        <v>90</v>
      </c>
      <c r="DW84" t="s">
        <v>90</v>
      </c>
      <c r="DX84">
        <v>1</v>
      </c>
      <c r="EE84">
        <v>16349978</v>
      </c>
      <c r="EF84">
        <v>30</v>
      </c>
      <c r="EG84" t="s">
        <v>37</v>
      </c>
      <c r="EH84">
        <v>0</v>
      </c>
      <c r="EJ84">
        <v>1</v>
      </c>
      <c r="EK84">
        <v>115</v>
      </c>
      <c r="EL84" t="s">
        <v>195</v>
      </c>
      <c r="EM84" t="s">
        <v>196</v>
      </c>
      <c r="EQ84">
        <v>0</v>
      </c>
      <c r="ER84">
        <v>396.06</v>
      </c>
      <c r="ES84">
        <v>396.06</v>
      </c>
      <c r="ET84">
        <v>0</v>
      </c>
      <c r="EU84">
        <v>0</v>
      </c>
      <c r="EV84">
        <v>0</v>
      </c>
      <c r="EW84">
        <v>0</v>
      </c>
      <c r="EX84">
        <v>0</v>
      </c>
      <c r="EZ84">
        <v>0</v>
      </c>
      <c r="FQ84">
        <v>0</v>
      </c>
      <c r="FR84">
        <f t="shared" si="82"/>
        <v>0</v>
      </c>
      <c r="FS84">
        <v>0</v>
      </c>
      <c r="FX84">
        <v>0</v>
      </c>
      <c r="FY84">
        <v>0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83"/>
        <v>0</v>
      </c>
      <c r="GM84">
        <f t="shared" si="84"/>
        <v>446.38</v>
      </c>
      <c r="GN84">
        <f t="shared" si="85"/>
        <v>446.38</v>
      </c>
      <c r="GO84">
        <f t="shared" si="86"/>
        <v>0</v>
      </c>
      <c r="GP84">
        <f t="shared" si="87"/>
        <v>0</v>
      </c>
      <c r="GR84">
        <v>0</v>
      </c>
    </row>
    <row r="85" spans="1:200" ht="12.75">
      <c r="A85">
        <v>17</v>
      </c>
      <c r="B85">
        <v>1</v>
      </c>
      <c r="C85">
        <f>ROW(SmtRes!A68)</f>
        <v>68</v>
      </c>
      <c r="D85">
        <f>ROW(EtalonRes!A71)</f>
        <v>71</v>
      </c>
      <c r="E85" t="s">
        <v>33</v>
      </c>
      <c r="F85" t="s">
        <v>205</v>
      </c>
      <c r="G85" t="s">
        <v>206</v>
      </c>
      <c r="H85" t="s">
        <v>29</v>
      </c>
      <c r="I85">
        <v>0.15</v>
      </c>
      <c r="J85">
        <v>0</v>
      </c>
      <c r="O85">
        <f t="shared" si="58"/>
        <v>427.7</v>
      </c>
      <c r="P85">
        <f t="shared" si="59"/>
        <v>0.81</v>
      </c>
      <c r="Q85">
        <f t="shared" si="60"/>
        <v>22.38</v>
      </c>
      <c r="R85">
        <f t="shared" si="61"/>
        <v>9.22</v>
      </c>
      <c r="S85">
        <f t="shared" si="62"/>
        <v>404.51</v>
      </c>
      <c r="T85">
        <f t="shared" si="63"/>
        <v>0</v>
      </c>
      <c r="U85">
        <f t="shared" si="64"/>
        <v>2.5875</v>
      </c>
      <c r="V85">
        <f t="shared" si="65"/>
        <v>0</v>
      </c>
      <c r="W85">
        <f t="shared" si="66"/>
        <v>0</v>
      </c>
      <c r="X85">
        <f t="shared" si="67"/>
        <v>343.83</v>
      </c>
      <c r="Y85">
        <f t="shared" si="67"/>
        <v>177.98</v>
      </c>
      <c r="AA85">
        <v>16903935</v>
      </c>
      <c r="AB85">
        <f t="shared" si="68"/>
        <v>215.302</v>
      </c>
      <c r="AC85">
        <f t="shared" si="69"/>
        <v>1.19</v>
      </c>
      <c r="AD85">
        <f>ROUND(((((ET85*1.15))-((EU85*1.15)))+AE85),6)</f>
        <v>18.837</v>
      </c>
      <c r="AE85">
        <f>ROUND(((EU85*1.15)),6)</f>
        <v>4.4505</v>
      </c>
      <c r="AF85">
        <f>ROUND(((EV85*1.25)),6)</f>
        <v>195.275</v>
      </c>
      <c r="AG85">
        <f t="shared" si="70"/>
        <v>0</v>
      </c>
      <c r="AH85">
        <f>((EW85*1.25))</f>
        <v>17.25</v>
      </c>
      <c r="AI85">
        <f>((EX85*1.15))</f>
        <v>0</v>
      </c>
      <c r="AJ85">
        <f t="shared" si="71"/>
        <v>0</v>
      </c>
      <c r="AK85">
        <v>173.79</v>
      </c>
      <c r="AL85">
        <v>1.19</v>
      </c>
      <c r="AM85">
        <v>16.38</v>
      </c>
      <c r="AN85">
        <v>3.87</v>
      </c>
      <c r="AO85">
        <v>156.22</v>
      </c>
      <c r="AP85">
        <v>0</v>
      </c>
      <c r="AQ85">
        <v>13.8</v>
      </c>
      <c r="AR85">
        <v>0</v>
      </c>
      <c r="AS85">
        <v>0</v>
      </c>
      <c r="AT85">
        <v>85</v>
      </c>
      <c r="AU85">
        <v>44</v>
      </c>
      <c r="AV85">
        <v>1</v>
      </c>
      <c r="AW85">
        <v>1</v>
      </c>
      <c r="AZ85">
        <v>1</v>
      </c>
      <c r="BA85">
        <v>13.81</v>
      </c>
      <c r="BB85">
        <v>7.92</v>
      </c>
      <c r="BC85">
        <v>4.56</v>
      </c>
      <c r="BH85">
        <v>0</v>
      </c>
      <c r="BI85">
        <v>1</v>
      </c>
      <c r="BJ85" t="s">
        <v>207</v>
      </c>
      <c r="BM85">
        <v>117</v>
      </c>
      <c r="BN85">
        <v>0</v>
      </c>
      <c r="BO85" t="s">
        <v>205</v>
      </c>
      <c r="BP85">
        <v>1</v>
      </c>
      <c r="BQ85">
        <v>30</v>
      </c>
      <c r="BS85">
        <v>13.81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85</v>
      </c>
      <c r="CA85">
        <v>44</v>
      </c>
      <c r="CF85">
        <v>0</v>
      </c>
      <c r="CG85">
        <v>0</v>
      </c>
      <c r="CM85">
        <v>0</v>
      </c>
      <c r="CO85">
        <v>0</v>
      </c>
      <c r="CP85">
        <f t="shared" si="72"/>
        <v>427.7</v>
      </c>
      <c r="CQ85">
        <f t="shared" si="73"/>
        <v>5.426399999999999</v>
      </c>
      <c r="CR85">
        <f t="shared" si="74"/>
        <v>149.18904</v>
      </c>
      <c r="CS85">
        <f t="shared" si="75"/>
        <v>61.461405</v>
      </c>
      <c r="CT85">
        <f t="shared" si="76"/>
        <v>2696.74775</v>
      </c>
      <c r="CU85">
        <f t="shared" si="77"/>
        <v>0</v>
      </c>
      <c r="CV85">
        <f t="shared" si="78"/>
        <v>17.25</v>
      </c>
      <c r="CW85">
        <f t="shared" si="79"/>
        <v>0</v>
      </c>
      <c r="CX85">
        <f t="shared" si="79"/>
        <v>0</v>
      </c>
      <c r="CY85">
        <f t="shared" si="80"/>
        <v>343.83349999999996</v>
      </c>
      <c r="CZ85">
        <f t="shared" si="81"/>
        <v>177.9844</v>
      </c>
      <c r="DE85" t="s">
        <v>32</v>
      </c>
      <c r="DF85" t="s">
        <v>32</v>
      </c>
      <c r="DG85" t="s">
        <v>31</v>
      </c>
      <c r="DI85" t="s">
        <v>31</v>
      </c>
      <c r="DJ85" t="s">
        <v>32</v>
      </c>
      <c r="DN85">
        <v>100</v>
      </c>
      <c r="DO85">
        <v>64</v>
      </c>
      <c r="DP85">
        <v>1.025</v>
      </c>
      <c r="DQ85">
        <v>1</v>
      </c>
      <c r="DU85">
        <v>1005</v>
      </c>
      <c r="DV85" t="s">
        <v>29</v>
      </c>
      <c r="DW85" t="s">
        <v>29</v>
      </c>
      <c r="DX85">
        <v>100</v>
      </c>
      <c r="EE85">
        <v>16349980</v>
      </c>
      <c r="EF85">
        <v>30</v>
      </c>
      <c r="EG85" t="s">
        <v>37</v>
      </c>
      <c r="EH85">
        <v>0</v>
      </c>
      <c r="EJ85">
        <v>1</v>
      </c>
      <c r="EK85">
        <v>117</v>
      </c>
      <c r="EL85" t="s">
        <v>101</v>
      </c>
      <c r="EM85" t="s">
        <v>102</v>
      </c>
      <c r="EQ85">
        <v>0</v>
      </c>
      <c r="ER85">
        <v>173.79</v>
      </c>
      <c r="ES85">
        <v>1.19</v>
      </c>
      <c r="ET85">
        <v>16.38</v>
      </c>
      <c r="EU85">
        <v>3.87</v>
      </c>
      <c r="EV85">
        <v>156.22</v>
      </c>
      <c r="EW85">
        <v>13.8</v>
      </c>
      <c r="EX85">
        <v>0</v>
      </c>
      <c r="EY85">
        <v>0</v>
      </c>
      <c r="EZ85">
        <v>0</v>
      </c>
      <c r="FQ85">
        <v>0</v>
      </c>
      <c r="FR85">
        <f t="shared" si="82"/>
        <v>0</v>
      </c>
      <c r="FS85">
        <v>0</v>
      </c>
      <c r="FX85">
        <v>85</v>
      </c>
      <c r="FY85">
        <v>44</v>
      </c>
      <c r="GG85">
        <v>2</v>
      </c>
      <c r="GH85">
        <v>1</v>
      </c>
      <c r="GI85">
        <v>2</v>
      </c>
      <c r="GJ85">
        <v>0</v>
      </c>
      <c r="GK85">
        <f>ROUND(R85*(R12)/100,2)</f>
        <v>15.58</v>
      </c>
      <c r="GL85">
        <f t="shared" si="83"/>
        <v>0</v>
      </c>
      <c r="GM85">
        <f t="shared" si="84"/>
        <v>965.09</v>
      </c>
      <c r="GN85">
        <f t="shared" si="85"/>
        <v>965.09</v>
      </c>
      <c r="GO85">
        <f t="shared" si="86"/>
        <v>0</v>
      </c>
      <c r="GP85">
        <f t="shared" si="87"/>
        <v>0</v>
      </c>
      <c r="GR85">
        <v>0</v>
      </c>
    </row>
    <row r="86" spans="1:200" ht="12.75">
      <c r="A86">
        <v>18</v>
      </c>
      <c r="B86">
        <v>1</v>
      </c>
      <c r="C86">
        <v>67</v>
      </c>
      <c r="E86" t="s">
        <v>40</v>
      </c>
      <c r="F86" t="s">
        <v>208</v>
      </c>
      <c r="G86" t="s">
        <v>209</v>
      </c>
      <c r="H86" t="s">
        <v>48</v>
      </c>
      <c r="I86">
        <f>I85*J86</f>
        <v>0.0008249999999999999</v>
      </c>
      <c r="J86">
        <v>0.0055</v>
      </c>
      <c r="O86">
        <f t="shared" si="58"/>
        <v>9.76</v>
      </c>
      <c r="P86">
        <f t="shared" si="59"/>
        <v>9.76</v>
      </c>
      <c r="Q86">
        <f t="shared" si="60"/>
        <v>0</v>
      </c>
      <c r="R86">
        <f t="shared" si="61"/>
        <v>0</v>
      </c>
      <c r="S86">
        <f t="shared" si="62"/>
        <v>0</v>
      </c>
      <c r="T86">
        <f t="shared" si="63"/>
        <v>0</v>
      </c>
      <c r="U86">
        <f t="shared" si="64"/>
        <v>0</v>
      </c>
      <c r="V86">
        <f t="shared" si="65"/>
        <v>0</v>
      </c>
      <c r="W86">
        <f t="shared" si="66"/>
        <v>0</v>
      </c>
      <c r="X86">
        <f t="shared" si="67"/>
        <v>0</v>
      </c>
      <c r="Y86">
        <f t="shared" si="67"/>
        <v>0</v>
      </c>
      <c r="AA86">
        <v>16903935</v>
      </c>
      <c r="AB86">
        <f t="shared" si="68"/>
        <v>2278.84</v>
      </c>
      <c r="AC86">
        <f t="shared" si="69"/>
        <v>2278.84</v>
      </c>
      <c r="AD86">
        <f>ROUND((((ET86)-(EU86))+AE86),6)</f>
        <v>0</v>
      </c>
      <c r="AE86">
        <f>ROUND((EU86),6)</f>
        <v>0</v>
      </c>
      <c r="AF86">
        <f>ROUND((EV86),6)</f>
        <v>0</v>
      </c>
      <c r="AG86">
        <f t="shared" si="70"/>
        <v>0</v>
      </c>
      <c r="AH86">
        <f>(EW86)</f>
        <v>0</v>
      </c>
      <c r="AI86">
        <f>(EX86)</f>
        <v>0</v>
      </c>
      <c r="AJ86">
        <f t="shared" si="71"/>
        <v>0</v>
      </c>
      <c r="AK86">
        <v>2278.84</v>
      </c>
      <c r="AL86">
        <v>2278.84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5.19</v>
      </c>
      <c r="BH86">
        <v>3</v>
      </c>
      <c r="BI86">
        <v>1</v>
      </c>
      <c r="BJ86" t="s">
        <v>210</v>
      </c>
      <c r="BM86">
        <v>117</v>
      </c>
      <c r="BN86">
        <v>0</v>
      </c>
      <c r="BO86" t="s">
        <v>208</v>
      </c>
      <c r="BP86">
        <v>1</v>
      </c>
      <c r="BQ86">
        <v>30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0</v>
      </c>
      <c r="CA86">
        <v>0</v>
      </c>
      <c r="CF86">
        <v>0</v>
      </c>
      <c r="CG86">
        <v>0</v>
      </c>
      <c r="CM86">
        <v>0</v>
      </c>
      <c r="CO86">
        <v>0</v>
      </c>
      <c r="CP86">
        <f t="shared" si="72"/>
        <v>9.76</v>
      </c>
      <c r="CQ86">
        <f t="shared" si="73"/>
        <v>11827.179600000001</v>
      </c>
      <c r="CR86">
        <f t="shared" si="74"/>
        <v>0</v>
      </c>
      <c r="CS86">
        <f t="shared" si="75"/>
        <v>0</v>
      </c>
      <c r="CT86">
        <f t="shared" si="76"/>
        <v>0</v>
      </c>
      <c r="CU86">
        <f t="shared" si="77"/>
        <v>0</v>
      </c>
      <c r="CV86">
        <f t="shared" si="78"/>
        <v>0</v>
      </c>
      <c r="CW86">
        <f t="shared" si="79"/>
        <v>0</v>
      </c>
      <c r="CX86">
        <f t="shared" si="79"/>
        <v>0</v>
      </c>
      <c r="CY86">
        <f t="shared" si="80"/>
        <v>0</v>
      </c>
      <c r="CZ86">
        <f t="shared" si="81"/>
        <v>0</v>
      </c>
      <c r="DN86">
        <v>100</v>
      </c>
      <c r="DO86">
        <v>64</v>
      </c>
      <c r="DP86">
        <v>1.025</v>
      </c>
      <c r="DQ86">
        <v>1</v>
      </c>
      <c r="DU86">
        <v>1009</v>
      </c>
      <c r="DV86" t="s">
        <v>48</v>
      </c>
      <c r="DW86" t="s">
        <v>48</v>
      </c>
      <c r="DX86">
        <v>1000</v>
      </c>
      <c r="EE86">
        <v>16349980</v>
      </c>
      <c r="EF86">
        <v>30</v>
      </c>
      <c r="EG86" t="s">
        <v>37</v>
      </c>
      <c r="EH86">
        <v>0</v>
      </c>
      <c r="EJ86">
        <v>1</v>
      </c>
      <c r="EK86">
        <v>117</v>
      </c>
      <c r="EL86" t="s">
        <v>101</v>
      </c>
      <c r="EM86" t="s">
        <v>102</v>
      </c>
      <c r="EQ86">
        <v>0</v>
      </c>
      <c r="ER86">
        <v>2278.84</v>
      </c>
      <c r="ES86">
        <v>2278.84</v>
      </c>
      <c r="ET86">
        <v>0</v>
      </c>
      <c r="EU86">
        <v>0</v>
      </c>
      <c r="EV86">
        <v>0</v>
      </c>
      <c r="EW86">
        <v>0</v>
      </c>
      <c r="EX86">
        <v>0</v>
      </c>
      <c r="EZ86">
        <v>0</v>
      </c>
      <c r="FQ86">
        <v>0</v>
      </c>
      <c r="FR86">
        <f t="shared" si="82"/>
        <v>0</v>
      </c>
      <c r="FS86">
        <v>0</v>
      </c>
      <c r="FX86">
        <v>0</v>
      </c>
      <c r="FY86">
        <v>0</v>
      </c>
      <c r="GG86">
        <v>2</v>
      </c>
      <c r="GH86">
        <v>1</v>
      </c>
      <c r="GI86">
        <v>2</v>
      </c>
      <c r="GJ86">
        <v>0</v>
      </c>
      <c r="GK86">
        <f>ROUND(R86*(R12)/100,2)</f>
        <v>0</v>
      </c>
      <c r="GL86">
        <f t="shared" si="83"/>
        <v>0</v>
      </c>
      <c r="GM86">
        <f t="shared" si="84"/>
        <v>9.76</v>
      </c>
      <c r="GN86">
        <f t="shared" si="85"/>
        <v>9.76</v>
      </c>
      <c r="GO86">
        <f t="shared" si="86"/>
        <v>0</v>
      </c>
      <c r="GP86">
        <f t="shared" si="87"/>
        <v>0</v>
      </c>
      <c r="GR86">
        <v>0</v>
      </c>
    </row>
    <row r="87" spans="1:200" ht="12.75">
      <c r="A87">
        <v>18</v>
      </c>
      <c r="B87">
        <v>1</v>
      </c>
      <c r="C87">
        <v>68</v>
      </c>
      <c r="E87" t="s">
        <v>45</v>
      </c>
      <c r="F87" t="s">
        <v>211</v>
      </c>
      <c r="G87" t="s">
        <v>212</v>
      </c>
      <c r="H87" t="s">
        <v>48</v>
      </c>
      <c r="I87">
        <f>I85*J87</f>
        <v>0.0078</v>
      </c>
      <c r="J87">
        <v>0.052</v>
      </c>
      <c r="O87">
        <f t="shared" si="58"/>
        <v>286.23</v>
      </c>
      <c r="P87">
        <f t="shared" si="59"/>
        <v>286.23</v>
      </c>
      <c r="Q87">
        <f t="shared" si="60"/>
        <v>0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7"/>
        <v>0</v>
      </c>
      <c r="AA87">
        <v>16903935</v>
      </c>
      <c r="AB87">
        <f t="shared" si="68"/>
        <v>22652.13</v>
      </c>
      <c r="AC87">
        <f t="shared" si="69"/>
        <v>22652.13</v>
      </c>
      <c r="AD87">
        <f>ROUND((((ET87)-(EU87))+AE87),6)</f>
        <v>0</v>
      </c>
      <c r="AE87">
        <f>ROUND((EU87),6)</f>
        <v>0</v>
      </c>
      <c r="AF87">
        <f>ROUND((EV87),6)</f>
        <v>0</v>
      </c>
      <c r="AG87">
        <f t="shared" si="70"/>
        <v>0</v>
      </c>
      <c r="AH87">
        <f>(EW87)</f>
        <v>0</v>
      </c>
      <c r="AI87">
        <f>(EX87)</f>
        <v>0</v>
      </c>
      <c r="AJ87">
        <f t="shared" si="71"/>
        <v>0</v>
      </c>
      <c r="AK87">
        <v>22652.13</v>
      </c>
      <c r="AL87">
        <v>22652.13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1.62</v>
      </c>
      <c r="BH87">
        <v>3</v>
      </c>
      <c r="BI87">
        <v>1</v>
      </c>
      <c r="BJ87" t="s">
        <v>213</v>
      </c>
      <c r="BM87">
        <v>117</v>
      </c>
      <c r="BN87">
        <v>0</v>
      </c>
      <c r="BO87" t="s">
        <v>211</v>
      </c>
      <c r="BP87">
        <v>1</v>
      </c>
      <c r="BQ87">
        <v>30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72"/>
        <v>286.23</v>
      </c>
      <c r="CQ87">
        <f t="shared" si="73"/>
        <v>36696.450600000004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79"/>
        <v>0</v>
      </c>
      <c r="CY87">
        <f t="shared" si="80"/>
        <v>0</v>
      </c>
      <c r="CZ87">
        <f t="shared" si="81"/>
        <v>0</v>
      </c>
      <c r="DN87">
        <v>100</v>
      </c>
      <c r="DO87">
        <v>64</v>
      </c>
      <c r="DP87">
        <v>1.025</v>
      </c>
      <c r="DQ87">
        <v>1</v>
      </c>
      <c r="DU87">
        <v>1009</v>
      </c>
      <c r="DV87" t="s">
        <v>48</v>
      </c>
      <c r="DW87" t="s">
        <v>48</v>
      </c>
      <c r="DX87">
        <v>1000</v>
      </c>
      <c r="EE87">
        <v>16349980</v>
      </c>
      <c r="EF87">
        <v>30</v>
      </c>
      <c r="EG87" t="s">
        <v>37</v>
      </c>
      <c r="EH87">
        <v>0</v>
      </c>
      <c r="EJ87">
        <v>1</v>
      </c>
      <c r="EK87">
        <v>117</v>
      </c>
      <c r="EL87" t="s">
        <v>101</v>
      </c>
      <c r="EM87" t="s">
        <v>102</v>
      </c>
      <c r="EQ87">
        <v>0</v>
      </c>
      <c r="ER87">
        <v>22652.13</v>
      </c>
      <c r="ES87">
        <v>22652.13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0</v>
      </c>
      <c r="FQ87">
        <v>0</v>
      </c>
      <c r="FR87">
        <f t="shared" si="82"/>
        <v>0</v>
      </c>
      <c r="FS87">
        <v>0</v>
      </c>
      <c r="FX87">
        <v>0</v>
      </c>
      <c r="FY87">
        <v>0</v>
      </c>
      <c r="GG87">
        <v>2</v>
      </c>
      <c r="GH87">
        <v>1</v>
      </c>
      <c r="GI87">
        <v>2</v>
      </c>
      <c r="GJ87">
        <v>0</v>
      </c>
      <c r="GK87">
        <f>ROUND(R87*(R12)/100,2)</f>
        <v>0</v>
      </c>
      <c r="GL87">
        <f t="shared" si="83"/>
        <v>0</v>
      </c>
      <c r="GM87">
        <f t="shared" si="84"/>
        <v>286.23</v>
      </c>
      <c r="GN87">
        <f t="shared" si="85"/>
        <v>286.23</v>
      </c>
      <c r="GO87">
        <f t="shared" si="86"/>
        <v>0</v>
      </c>
      <c r="GP87">
        <f t="shared" si="87"/>
        <v>0</v>
      </c>
      <c r="GR87">
        <v>0</v>
      </c>
    </row>
    <row r="89" spans="1:118" ht="12.75">
      <c r="A89" s="2">
        <v>51</v>
      </c>
      <c r="B89" s="2">
        <f>B77</f>
        <v>1</v>
      </c>
      <c r="C89" s="2">
        <f>A77</f>
        <v>4</v>
      </c>
      <c r="D89" s="2">
        <f>ROW(A77)</f>
        <v>77</v>
      </c>
      <c r="E89" s="2"/>
      <c r="F89" s="2" t="str">
        <f>IF(F77&lt;&gt;"",F77,"")</f>
        <v>Новый раздел</v>
      </c>
      <c r="G89" s="2" t="str">
        <f>IF(G77&lt;&gt;"",G77,"")</f>
        <v>Текущий ремонт электрощитовой (помещение № 113)</v>
      </c>
      <c r="H89" s="2"/>
      <c r="I89" s="2"/>
      <c r="J89" s="2"/>
      <c r="K89" s="2"/>
      <c r="L89" s="2"/>
      <c r="M89" s="2"/>
      <c r="N89" s="2"/>
      <c r="O89" s="2">
        <f aca="true" t="shared" si="88" ref="O89:T89">ROUND(AB89,2)</f>
        <v>5076.59</v>
      </c>
      <c r="P89" s="2">
        <f t="shared" si="88"/>
        <v>1129.12</v>
      </c>
      <c r="Q89" s="2">
        <f t="shared" si="88"/>
        <v>349.12</v>
      </c>
      <c r="R89" s="2">
        <f t="shared" si="88"/>
        <v>171.69</v>
      </c>
      <c r="S89" s="2">
        <f t="shared" si="88"/>
        <v>3598.35</v>
      </c>
      <c r="T89" s="2">
        <f t="shared" si="88"/>
        <v>0</v>
      </c>
      <c r="U89" s="2">
        <f>AH89</f>
        <v>22.14</v>
      </c>
      <c r="V89" s="2">
        <f>AI89</f>
        <v>0</v>
      </c>
      <c r="W89" s="2">
        <f>ROUND(AJ89,2)</f>
        <v>0</v>
      </c>
      <c r="X89" s="2">
        <f>ROUND(AK89,2)</f>
        <v>2923.47</v>
      </c>
      <c r="Y89" s="2">
        <f>ROUND(AL89,2)</f>
        <v>1583.27</v>
      </c>
      <c r="Z89" s="2"/>
      <c r="AA89" s="2"/>
      <c r="AB89" s="2">
        <f>ROUND(SUMIF(AA81:AA87,"=16903935",O81:O87),2)</f>
        <v>5076.59</v>
      </c>
      <c r="AC89" s="2">
        <f>ROUND(SUMIF(AA81:AA87,"=16903935",P81:P87),2)</f>
        <v>1129.12</v>
      </c>
      <c r="AD89" s="2">
        <f>ROUND(SUMIF(AA81:AA87,"=16903935",Q81:Q87),2)</f>
        <v>349.12</v>
      </c>
      <c r="AE89" s="2">
        <f>ROUND(SUMIF(AA81:AA87,"=16903935",R81:R87),2)</f>
        <v>171.69</v>
      </c>
      <c r="AF89" s="2">
        <f>ROUND(SUMIF(AA81:AA87,"=16903935",S81:S87),2)</f>
        <v>3598.35</v>
      </c>
      <c r="AG89" s="2">
        <f>ROUND(SUMIF(AA81:AA87,"=16903935",T81:T87),2)</f>
        <v>0</v>
      </c>
      <c r="AH89" s="2">
        <f>SUMIF(AA81:AA87,"=16903935",U81:U87)</f>
        <v>22.14</v>
      </c>
      <c r="AI89" s="2">
        <f>SUMIF(AA81:AA87,"=16903935",V81:V87)</f>
        <v>0</v>
      </c>
      <c r="AJ89" s="2">
        <f>ROUND(SUMIF(AA81:AA87,"=16903935",W81:W87),2)</f>
        <v>0</v>
      </c>
      <c r="AK89" s="2">
        <f>ROUND(SUMIF(AA81:AA87,"=16903935",X81:X87),2)</f>
        <v>2923.47</v>
      </c>
      <c r="AL89" s="2">
        <f>ROUND(SUMIF(AA81:AA87,"=16903935",Y81:Y87),2)</f>
        <v>1583.27</v>
      </c>
      <c r="AM89" s="2"/>
      <c r="AN89" s="2"/>
      <c r="AO89" s="2">
        <f aca="true" t="shared" si="89" ref="AO89:AU89">ROUND(BB89,2)</f>
        <v>0</v>
      </c>
      <c r="AP89" s="2">
        <f t="shared" si="89"/>
        <v>0</v>
      </c>
      <c r="AQ89" s="2">
        <f t="shared" si="89"/>
        <v>0</v>
      </c>
      <c r="AR89" s="2">
        <f t="shared" si="89"/>
        <v>9873.48</v>
      </c>
      <c r="AS89" s="2">
        <f t="shared" si="89"/>
        <v>9873.48</v>
      </c>
      <c r="AT89" s="2">
        <f t="shared" si="89"/>
        <v>0</v>
      </c>
      <c r="AU89" s="2">
        <f t="shared" si="89"/>
        <v>0</v>
      </c>
      <c r="AV89" s="2"/>
      <c r="AW89" s="2"/>
      <c r="AX89" s="2"/>
      <c r="AY89" s="2"/>
      <c r="AZ89" s="2"/>
      <c r="BA89" s="2"/>
      <c r="BB89" s="2">
        <f>ROUND(SUMIF(AA81:AA87,"=16903935",FQ81:FQ87),2)</f>
        <v>0</v>
      </c>
      <c r="BC89" s="2">
        <f>ROUND(SUMIF(AA81:AA87,"=16903935",FR81:FR87),2)</f>
        <v>0</v>
      </c>
      <c r="BD89" s="2">
        <f>ROUND(SUMIF(AA81:AA87,"=16903935",GL81:GL87),2)</f>
        <v>0</v>
      </c>
      <c r="BE89" s="2">
        <f>ROUND(SUMIF(AA81:AA87,"=16903935",GM81:GM87),2)</f>
        <v>9873.48</v>
      </c>
      <c r="BF89" s="2">
        <f>ROUND(SUMIF(AA81:AA87,"=16903935",GN81:GN87),2)</f>
        <v>9873.48</v>
      </c>
      <c r="BG89" s="2">
        <f>ROUND(SUMIF(AA81:AA87,"=16903935",GO81:GO87),2)</f>
        <v>0</v>
      </c>
      <c r="BH89" s="2">
        <f>ROUND(SUMIF(AA81:AA87,"=16903935",GP81:GP87),2)</f>
        <v>0</v>
      </c>
      <c r="BI89" s="2"/>
      <c r="BJ89" s="2"/>
      <c r="BK89" s="2"/>
      <c r="BL89" s="2"/>
      <c r="BM89" s="2"/>
      <c r="BN89" s="2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>
        <v>0</v>
      </c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201</v>
      </c>
      <c r="F91" s="4">
        <f>ROUND(Source!O89,O91)</f>
        <v>5076.59</v>
      </c>
      <c r="G91" s="4" t="s">
        <v>151</v>
      </c>
      <c r="H91" s="4" t="s">
        <v>152</v>
      </c>
      <c r="I91" s="4"/>
      <c r="J91" s="4"/>
      <c r="K91" s="4">
        <v>201</v>
      </c>
      <c r="L91" s="4">
        <v>1</v>
      </c>
      <c r="M91" s="4">
        <v>3</v>
      </c>
      <c r="N91" s="4" t="s">
        <v>3</v>
      </c>
      <c r="O91" s="4">
        <v>2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202</v>
      </c>
      <c r="F92" s="4">
        <f>ROUND(Source!P89,O92)</f>
        <v>1129.12</v>
      </c>
      <c r="G92" s="4" t="s">
        <v>153</v>
      </c>
      <c r="H92" s="4" t="s">
        <v>154</v>
      </c>
      <c r="I92" s="4"/>
      <c r="J92" s="4"/>
      <c r="K92" s="4">
        <v>202</v>
      </c>
      <c r="L92" s="4">
        <v>2</v>
      </c>
      <c r="M92" s="4">
        <v>3</v>
      </c>
      <c r="N92" s="4" t="s">
        <v>3</v>
      </c>
      <c r="O92" s="4">
        <v>2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222</v>
      </c>
      <c r="F93" s="4">
        <f>ROUND(Source!AO89,O93)</f>
        <v>0</v>
      </c>
      <c r="G93" s="4" t="s">
        <v>155</v>
      </c>
      <c r="H93" s="4" t="s">
        <v>156</v>
      </c>
      <c r="I93" s="4"/>
      <c r="J93" s="4"/>
      <c r="K93" s="4">
        <v>222</v>
      </c>
      <c r="L93" s="4">
        <v>3</v>
      </c>
      <c r="M93" s="4">
        <v>3</v>
      </c>
      <c r="N93" s="4" t="s">
        <v>3</v>
      </c>
      <c r="O93" s="4">
        <v>2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216</v>
      </c>
      <c r="F94" s="4">
        <f>ROUND(Source!AP89,O94)</f>
        <v>0</v>
      </c>
      <c r="G94" s="4" t="s">
        <v>157</v>
      </c>
      <c r="H94" s="4" t="s">
        <v>158</v>
      </c>
      <c r="I94" s="4"/>
      <c r="J94" s="4"/>
      <c r="K94" s="4">
        <v>216</v>
      </c>
      <c r="L94" s="4">
        <v>4</v>
      </c>
      <c r="M94" s="4">
        <v>3</v>
      </c>
      <c r="N94" s="4" t="s">
        <v>3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223</v>
      </c>
      <c r="F95" s="4">
        <f>ROUND(Source!AQ89,O95)</f>
        <v>0</v>
      </c>
      <c r="G95" s="4" t="s">
        <v>159</v>
      </c>
      <c r="H95" s="4" t="s">
        <v>160</v>
      </c>
      <c r="I95" s="4"/>
      <c r="J95" s="4"/>
      <c r="K95" s="4">
        <v>223</v>
      </c>
      <c r="L95" s="4">
        <v>5</v>
      </c>
      <c r="M95" s="4">
        <v>3</v>
      </c>
      <c r="N95" s="4" t="s">
        <v>3</v>
      </c>
      <c r="O95" s="4">
        <v>2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203</v>
      </c>
      <c r="F96" s="4">
        <f>ROUND(Source!Q89,O96)</f>
        <v>349.12</v>
      </c>
      <c r="G96" s="4" t="s">
        <v>161</v>
      </c>
      <c r="H96" s="4" t="s">
        <v>162</v>
      </c>
      <c r="I96" s="4"/>
      <c r="J96" s="4"/>
      <c r="K96" s="4">
        <v>203</v>
      </c>
      <c r="L96" s="4">
        <v>6</v>
      </c>
      <c r="M96" s="4">
        <v>3</v>
      </c>
      <c r="N96" s="4" t="s">
        <v>3</v>
      </c>
      <c r="O96" s="4">
        <v>2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204</v>
      </c>
      <c r="F97" s="4">
        <f>ROUND(Source!R89,O97)</f>
        <v>171.69</v>
      </c>
      <c r="G97" s="4" t="s">
        <v>163</v>
      </c>
      <c r="H97" s="4" t="s">
        <v>164</v>
      </c>
      <c r="I97" s="4"/>
      <c r="J97" s="4"/>
      <c r="K97" s="4">
        <v>204</v>
      </c>
      <c r="L97" s="4">
        <v>7</v>
      </c>
      <c r="M97" s="4">
        <v>3</v>
      </c>
      <c r="N97" s="4" t="s">
        <v>3</v>
      </c>
      <c r="O97" s="4">
        <v>2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205</v>
      </c>
      <c r="F98" s="4">
        <f>ROUND(Source!S89,O98)</f>
        <v>3598.35</v>
      </c>
      <c r="G98" s="4" t="s">
        <v>165</v>
      </c>
      <c r="H98" s="4" t="s">
        <v>166</v>
      </c>
      <c r="I98" s="4"/>
      <c r="J98" s="4"/>
      <c r="K98" s="4">
        <v>205</v>
      </c>
      <c r="L98" s="4">
        <v>8</v>
      </c>
      <c r="M98" s="4">
        <v>3</v>
      </c>
      <c r="N98" s="4" t="s">
        <v>3</v>
      </c>
      <c r="O98" s="4">
        <v>2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214</v>
      </c>
      <c r="F99" s="4">
        <f>ROUND(Source!AS89,O99)</f>
        <v>9873.48</v>
      </c>
      <c r="G99" s="4" t="s">
        <v>167</v>
      </c>
      <c r="H99" s="4" t="s">
        <v>168</v>
      </c>
      <c r="I99" s="4"/>
      <c r="J99" s="4"/>
      <c r="K99" s="4">
        <v>214</v>
      </c>
      <c r="L99" s="4">
        <v>9</v>
      </c>
      <c r="M99" s="4">
        <v>3</v>
      </c>
      <c r="N99" s="4" t="s">
        <v>3</v>
      </c>
      <c r="O99" s="4">
        <v>2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215</v>
      </c>
      <c r="F100" s="4">
        <f>ROUND(Source!AT89,O100)</f>
        <v>0</v>
      </c>
      <c r="G100" s="4" t="s">
        <v>169</v>
      </c>
      <c r="H100" s="4" t="s">
        <v>170</v>
      </c>
      <c r="I100" s="4"/>
      <c r="J100" s="4"/>
      <c r="K100" s="4">
        <v>215</v>
      </c>
      <c r="L100" s="4">
        <v>10</v>
      </c>
      <c r="M100" s="4">
        <v>3</v>
      </c>
      <c r="N100" s="4" t="s">
        <v>3</v>
      </c>
      <c r="O100" s="4">
        <v>2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217</v>
      </c>
      <c r="F101" s="4">
        <f>ROUND(Source!AU89,O101)</f>
        <v>0</v>
      </c>
      <c r="G101" s="4" t="s">
        <v>171</v>
      </c>
      <c r="H101" s="4" t="s">
        <v>172</v>
      </c>
      <c r="I101" s="4"/>
      <c r="J101" s="4"/>
      <c r="K101" s="4">
        <v>217</v>
      </c>
      <c r="L101" s="4">
        <v>11</v>
      </c>
      <c r="M101" s="4">
        <v>3</v>
      </c>
      <c r="N101" s="4" t="s">
        <v>3</v>
      </c>
      <c r="O101" s="4">
        <v>2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206</v>
      </c>
      <c r="F102" s="4">
        <f>ROUND(Source!T89,O102)</f>
        <v>0</v>
      </c>
      <c r="G102" s="4" t="s">
        <v>173</v>
      </c>
      <c r="H102" s="4" t="s">
        <v>174</v>
      </c>
      <c r="I102" s="4"/>
      <c r="J102" s="4"/>
      <c r="K102" s="4">
        <v>206</v>
      </c>
      <c r="L102" s="4">
        <v>12</v>
      </c>
      <c r="M102" s="4">
        <v>3</v>
      </c>
      <c r="N102" s="4" t="s">
        <v>3</v>
      </c>
      <c r="O102" s="4">
        <v>2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207</v>
      </c>
      <c r="F103" s="4">
        <f>Source!U89</f>
        <v>22.14</v>
      </c>
      <c r="G103" s="4" t="s">
        <v>175</v>
      </c>
      <c r="H103" s="4" t="s">
        <v>176</v>
      </c>
      <c r="I103" s="4"/>
      <c r="J103" s="4"/>
      <c r="K103" s="4">
        <v>207</v>
      </c>
      <c r="L103" s="4">
        <v>13</v>
      </c>
      <c r="M103" s="4">
        <v>3</v>
      </c>
      <c r="N103" s="4" t="s">
        <v>3</v>
      </c>
      <c r="O103" s="4">
        <v>-1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208</v>
      </c>
      <c r="F104" s="4">
        <f>Source!V89</f>
        <v>0</v>
      </c>
      <c r="G104" s="4" t="s">
        <v>177</v>
      </c>
      <c r="H104" s="4" t="s">
        <v>178</v>
      </c>
      <c r="I104" s="4"/>
      <c r="J104" s="4"/>
      <c r="K104" s="4">
        <v>208</v>
      </c>
      <c r="L104" s="4">
        <v>14</v>
      </c>
      <c r="M104" s="4">
        <v>3</v>
      </c>
      <c r="N104" s="4" t="s">
        <v>3</v>
      </c>
      <c r="O104" s="4">
        <v>-1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209</v>
      </c>
      <c r="F105" s="4">
        <f>ROUND(Source!W89,O105)</f>
        <v>0</v>
      </c>
      <c r="G105" s="4" t="s">
        <v>179</v>
      </c>
      <c r="H105" s="4" t="s">
        <v>180</v>
      </c>
      <c r="I105" s="4"/>
      <c r="J105" s="4"/>
      <c r="K105" s="4">
        <v>209</v>
      </c>
      <c r="L105" s="4">
        <v>15</v>
      </c>
      <c r="M105" s="4">
        <v>3</v>
      </c>
      <c r="N105" s="4" t="s">
        <v>3</v>
      </c>
      <c r="O105" s="4">
        <v>2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210</v>
      </c>
      <c r="F106" s="4">
        <f>ROUND(Source!X89,O106)</f>
        <v>2923.47</v>
      </c>
      <c r="G106" s="4" t="s">
        <v>181</v>
      </c>
      <c r="H106" s="4" t="s">
        <v>182</v>
      </c>
      <c r="I106" s="4"/>
      <c r="J106" s="4"/>
      <c r="K106" s="4">
        <v>210</v>
      </c>
      <c r="L106" s="4">
        <v>16</v>
      </c>
      <c r="M106" s="4">
        <v>3</v>
      </c>
      <c r="N106" s="4" t="s">
        <v>3</v>
      </c>
      <c r="O106" s="4">
        <v>2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211</v>
      </c>
      <c r="F107" s="4">
        <f>ROUND(Source!Y89,O107)</f>
        <v>1583.27</v>
      </c>
      <c r="G107" s="4" t="s">
        <v>183</v>
      </c>
      <c r="H107" s="4" t="s">
        <v>184</v>
      </c>
      <c r="I107" s="4"/>
      <c r="J107" s="4"/>
      <c r="K107" s="4">
        <v>211</v>
      </c>
      <c r="L107" s="4">
        <v>17</v>
      </c>
      <c r="M107" s="4">
        <v>3</v>
      </c>
      <c r="N107" s="4" t="s">
        <v>3</v>
      </c>
      <c r="O107" s="4">
        <v>2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224</v>
      </c>
      <c r="F108" s="4">
        <f>ROUND(Source!AR89,O108)</f>
        <v>9873.48</v>
      </c>
      <c r="G108" s="4" t="s">
        <v>185</v>
      </c>
      <c r="H108" s="4" t="s">
        <v>186</v>
      </c>
      <c r="I108" s="4"/>
      <c r="J108" s="4"/>
      <c r="K108" s="4">
        <v>224</v>
      </c>
      <c r="L108" s="4">
        <v>18</v>
      </c>
      <c r="M108" s="4">
        <v>3</v>
      </c>
      <c r="N108" s="4" t="s">
        <v>3</v>
      </c>
      <c r="O108" s="4">
        <v>2</v>
      </c>
      <c r="P108" s="4"/>
    </row>
    <row r="110" spans="1:88" ht="12.75">
      <c r="A110" s="1">
        <v>4</v>
      </c>
      <c r="B110" s="1">
        <v>1</v>
      </c>
      <c r="C110" s="1"/>
      <c r="D110" s="1">
        <f>ROW(A121)</f>
        <v>121</v>
      </c>
      <c r="E110" s="1"/>
      <c r="F110" s="1" t="s">
        <v>17</v>
      </c>
      <c r="G110" s="1" t="s">
        <v>385</v>
      </c>
      <c r="H110" s="1" t="s">
        <v>3</v>
      </c>
      <c r="I110" s="1">
        <v>0</v>
      </c>
      <c r="J110" s="1"/>
      <c r="K110" s="1"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 t="s">
        <v>3</v>
      </c>
      <c r="V110" s="1">
        <v>0</v>
      </c>
      <c r="W110" s="1"/>
      <c r="X110" s="1"/>
      <c r="Y110" s="1"/>
      <c r="Z110" s="1"/>
      <c r="AA110" s="1"/>
      <c r="AB110" s="1" t="s">
        <v>3</v>
      </c>
      <c r="AC110" s="1" t="s">
        <v>3</v>
      </c>
      <c r="AD110" s="1" t="s">
        <v>3</v>
      </c>
      <c r="AE110" s="1" t="s">
        <v>3</v>
      </c>
      <c r="AF110" s="1" t="s">
        <v>3</v>
      </c>
      <c r="AG110" s="1" t="s">
        <v>3</v>
      </c>
      <c r="AH110" s="1"/>
      <c r="AI110" s="1"/>
      <c r="AJ110" s="1"/>
      <c r="AK110" s="1"/>
      <c r="AL110" s="1"/>
      <c r="AM110" s="1"/>
      <c r="AN110" s="1"/>
      <c r="AO110" s="1"/>
      <c r="AP110" s="1" t="s">
        <v>3</v>
      </c>
      <c r="AQ110" s="1" t="s">
        <v>3</v>
      </c>
      <c r="AR110" s="1" t="s">
        <v>3</v>
      </c>
      <c r="AS110" s="1"/>
      <c r="AT110" s="1"/>
      <c r="AU110" s="1"/>
      <c r="AV110" s="1"/>
      <c r="AW110" s="1"/>
      <c r="AX110" s="1"/>
      <c r="AY110" s="1"/>
      <c r="AZ110" s="1" t="s">
        <v>3</v>
      </c>
      <c r="BA110" s="1"/>
      <c r="BB110" s="1" t="s">
        <v>3</v>
      </c>
      <c r="BC110" s="1" t="s">
        <v>3</v>
      </c>
      <c r="BD110" s="1" t="s">
        <v>3</v>
      </c>
      <c r="BE110" s="1" t="s">
        <v>3</v>
      </c>
      <c r="BF110" s="1" t="s">
        <v>3</v>
      </c>
      <c r="BG110" s="1" t="s">
        <v>3</v>
      </c>
      <c r="BH110" s="1" t="s">
        <v>3</v>
      </c>
      <c r="BI110" s="1" t="s">
        <v>3</v>
      </c>
      <c r="BJ110" s="1" t="s">
        <v>3</v>
      </c>
      <c r="BK110" s="1" t="s">
        <v>3</v>
      </c>
      <c r="BL110" s="1" t="s">
        <v>3</v>
      </c>
      <c r="BM110" s="1" t="s">
        <v>3</v>
      </c>
      <c r="BN110" s="1" t="s">
        <v>3</v>
      </c>
      <c r="BO110" s="1" t="s">
        <v>3</v>
      </c>
      <c r="BP110" s="1" t="s">
        <v>3</v>
      </c>
      <c r="BQ110" s="1"/>
      <c r="BR110" s="1"/>
      <c r="BS110" s="1"/>
      <c r="BT110" s="1"/>
      <c r="BU110" s="1"/>
      <c r="BV110" s="1"/>
      <c r="BW110" s="1"/>
      <c r="BX110" s="1"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>
        <v>0</v>
      </c>
    </row>
    <row r="112" spans="1:118" ht="12.75">
      <c r="A112" s="2">
        <v>52</v>
      </c>
      <c r="B112" s="2">
        <f aca="true" t="shared" si="90" ref="B112:G112">B121</f>
        <v>1</v>
      </c>
      <c r="C112" s="2">
        <f t="shared" si="90"/>
        <v>4</v>
      </c>
      <c r="D112" s="2">
        <f t="shared" si="90"/>
        <v>110</v>
      </c>
      <c r="E112" s="2">
        <f t="shared" si="90"/>
        <v>0</v>
      </c>
      <c r="F112" s="2" t="str">
        <f t="shared" si="90"/>
        <v>Новый раздел</v>
      </c>
      <c r="G112" s="2" t="str">
        <f t="shared" si="90"/>
        <v>Текущий ремонт входной группы (со стороны ул. Люблинская) здания МДЦМП Марьино</v>
      </c>
      <c r="H112" s="2"/>
      <c r="I112" s="2"/>
      <c r="J112" s="2"/>
      <c r="K112" s="2"/>
      <c r="L112" s="2"/>
      <c r="M112" s="2"/>
      <c r="N112" s="2"/>
      <c r="O112" s="2">
        <f aca="true" t="shared" si="91" ref="O112:AT112">O121</f>
        <v>88447.37</v>
      </c>
      <c r="P112" s="2">
        <f t="shared" si="91"/>
        <v>37282.08</v>
      </c>
      <c r="Q112" s="2">
        <f t="shared" si="91"/>
        <v>1168.89</v>
      </c>
      <c r="R112" s="2">
        <f t="shared" si="91"/>
        <v>202.84</v>
      </c>
      <c r="S112" s="2">
        <f t="shared" si="91"/>
        <v>49996.4</v>
      </c>
      <c r="T112" s="2">
        <f t="shared" si="91"/>
        <v>0</v>
      </c>
      <c r="U112" s="2">
        <f t="shared" si="91"/>
        <v>271.08525</v>
      </c>
      <c r="V112" s="2">
        <f t="shared" si="91"/>
        <v>0</v>
      </c>
      <c r="W112" s="2">
        <f t="shared" si="91"/>
        <v>0</v>
      </c>
      <c r="X112" s="2">
        <f t="shared" si="91"/>
        <v>41007.1</v>
      </c>
      <c r="Y112" s="2">
        <f t="shared" si="91"/>
        <v>21998.42</v>
      </c>
      <c r="Z112" s="2">
        <f t="shared" si="91"/>
        <v>0</v>
      </c>
      <c r="AA112" s="2">
        <f t="shared" si="91"/>
        <v>0</v>
      </c>
      <c r="AB112" s="2">
        <f t="shared" si="91"/>
        <v>88447.37</v>
      </c>
      <c r="AC112" s="2">
        <f t="shared" si="91"/>
        <v>37282.08</v>
      </c>
      <c r="AD112" s="2">
        <f t="shared" si="91"/>
        <v>1168.89</v>
      </c>
      <c r="AE112" s="2">
        <f t="shared" si="91"/>
        <v>202.84</v>
      </c>
      <c r="AF112" s="2">
        <f t="shared" si="91"/>
        <v>49996.4</v>
      </c>
      <c r="AG112" s="2">
        <f t="shared" si="91"/>
        <v>0</v>
      </c>
      <c r="AH112" s="2">
        <f t="shared" si="91"/>
        <v>271.08525</v>
      </c>
      <c r="AI112" s="2">
        <f t="shared" si="91"/>
        <v>0</v>
      </c>
      <c r="AJ112" s="2">
        <f t="shared" si="91"/>
        <v>0</v>
      </c>
      <c r="AK112" s="2">
        <f t="shared" si="91"/>
        <v>41007.1</v>
      </c>
      <c r="AL112" s="2">
        <f t="shared" si="91"/>
        <v>21998.42</v>
      </c>
      <c r="AM112" s="2">
        <f t="shared" si="91"/>
        <v>0</v>
      </c>
      <c r="AN112" s="2">
        <f t="shared" si="91"/>
        <v>0</v>
      </c>
      <c r="AO112" s="2">
        <f t="shared" si="91"/>
        <v>0</v>
      </c>
      <c r="AP112" s="2">
        <f t="shared" si="91"/>
        <v>0</v>
      </c>
      <c r="AQ112" s="2">
        <f t="shared" si="91"/>
        <v>0</v>
      </c>
      <c r="AR112" s="2">
        <f t="shared" si="91"/>
        <v>151795.69</v>
      </c>
      <c r="AS112" s="2">
        <f t="shared" si="91"/>
        <v>151795.69</v>
      </c>
      <c r="AT112" s="2">
        <f t="shared" si="91"/>
        <v>0</v>
      </c>
      <c r="AU112" s="2">
        <f aca="true" t="shared" si="92" ref="AU112:BZ112">AU121</f>
        <v>0</v>
      </c>
      <c r="AV112" s="2">
        <f t="shared" si="92"/>
        <v>0</v>
      </c>
      <c r="AW112" s="2">
        <f t="shared" si="92"/>
        <v>0</v>
      </c>
      <c r="AX112" s="2">
        <f t="shared" si="92"/>
        <v>0</v>
      </c>
      <c r="AY112" s="2">
        <f t="shared" si="92"/>
        <v>0</v>
      </c>
      <c r="AZ112" s="2">
        <f t="shared" si="92"/>
        <v>0</v>
      </c>
      <c r="BA112" s="2">
        <f t="shared" si="92"/>
        <v>0</v>
      </c>
      <c r="BB112" s="2">
        <f t="shared" si="92"/>
        <v>0</v>
      </c>
      <c r="BC112" s="2">
        <f t="shared" si="92"/>
        <v>0</v>
      </c>
      <c r="BD112" s="2">
        <f t="shared" si="92"/>
        <v>0</v>
      </c>
      <c r="BE112" s="2">
        <f t="shared" si="92"/>
        <v>151795.69</v>
      </c>
      <c r="BF112" s="2">
        <f t="shared" si="92"/>
        <v>151795.69</v>
      </c>
      <c r="BG112" s="2">
        <f t="shared" si="92"/>
        <v>0</v>
      </c>
      <c r="BH112" s="2">
        <f t="shared" si="92"/>
        <v>0</v>
      </c>
      <c r="BI112" s="2">
        <f t="shared" si="92"/>
        <v>0</v>
      </c>
      <c r="BJ112" s="2">
        <f t="shared" si="92"/>
        <v>0</v>
      </c>
      <c r="BK112" s="2">
        <f t="shared" si="92"/>
        <v>0</v>
      </c>
      <c r="BL112" s="2">
        <f t="shared" si="92"/>
        <v>0</v>
      </c>
      <c r="BM112" s="2">
        <f t="shared" si="92"/>
        <v>0</v>
      </c>
      <c r="BN112" s="2">
        <f t="shared" si="92"/>
        <v>0</v>
      </c>
      <c r="BO112" s="3">
        <f t="shared" si="92"/>
        <v>0</v>
      </c>
      <c r="BP112" s="3">
        <f t="shared" si="92"/>
        <v>0</v>
      </c>
      <c r="BQ112" s="3">
        <f t="shared" si="92"/>
        <v>0</v>
      </c>
      <c r="BR112" s="3">
        <f t="shared" si="92"/>
        <v>0</v>
      </c>
      <c r="BS112" s="3">
        <f t="shared" si="92"/>
        <v>0</v>
      </c>
      <c r="BT112" s="3">
        <f t="shared" si="92"/>
        <v>0</v>
      </c>
      <c r="BU112" s="3">
        <f t="shared" si="92"/>
        <v>0</v>
      </c>
      <c r="BV112" s="3">
        <f t="shared" si="92"/>
        <v>0</v>
      </c>
      <c r="BW112" s="3">
        <f t="shared" si="92"/>
        <v>0</v>
      </c>
      <c r="BX112" s="3">
        <f t="shared" si="92"/>
        <v>0</v>
      </c>
      <c r="BY112" s="3">
        <f t="shared" si="92"/>
        <v>0</v>
      </c>
      <c r="BZ112" s="3">
        <f t="shared" si="92"/>
        <v>0</v>
      </c>
      <c r="CA112" s="3">
        <f aca="true" t="shared" si="93" ref="CA112:DF112">CA121</f>
        <v>0</v>
      </c>
      <c r="CB112" s="3">
        <f t="shared" si="93"/>
        <v>0</v>
      </c>
      <c r="CC112" s="3">
        <f t="shared" si="93"/>
        <v>0</v>
      </c>
      <c r="CD112" s="3">
        <f t="shared" si="93"/>
        <v>0</v>
      </c>
      <c r="CE112" s="3">
        <f t="shared" si="93"/>
        <v>0</v>
      </c>
      <c r="CF112" s="3">
        <f t="shared" si="93"/>
        <v>0</v>
      </c>
      <c r="CG112" s="3">
        <f t="shared" si="93"/>
        <v>0</v>
      </c>
      <c r="CH112" s="3">
        <f t="shared" si="93"/>
        <v>0</v>
      </c>
      <c r="CI112" s="3">
        <f t="shared" si="93"/>
        <v>0</v>
      </c>
      <c r="CJ112" s="3">
        <f t="shared" si="93"/>
        <v>0</v>
      </c>
      <c r="CK112" s="3">
        <f t="shared" si="93"/>
        <v>0</v>
      </c>
      <c r="CL112" s="3">
        <f t="shared" si="93"/>
        <v>0</v>
      </c>
      <c r="CM112" s="3">
        <f t="shared" si="93"/>
        <v>0</v>
      </c>
      <c r="CN112" s="3">
        <f t="shared" si="93"/>
        <v>0</v>
      </c>
      <c r="CO112" s="3">
        <f t="shared" si="93"/>
        <v>0</v>
      </c>
      <c r="CP112" s="3">
        <f t="shared" si="93"/>
        <v>0</v>
      </c>
      <c r="CQ112" s="3">
        <f t="shared" si="93"/>
        <v>0</v>
      </c>
      <c r="CR112" s="3">
        <f t="shared" si="93"/>
        <v>0</v>
      </c>
      <c r="CS112" s="3">
        <f t="shared" si="93"/>
        <v>0</v>
      </c>
      <c r="CT112" s="3">
        <f t="shared" si="93"/>
        <v>0</v>
      </c>
      <c r="CU112" s="3">
        <f t="shared" si="93"/>
        <v>0</v>
      </c>
      <c r="CV112" s="3">
        <f t="shared" si="93"/>
        <v>0</v>
      </c>
      <c r="CW112" s="3">
        <f t="shared" si="93"/>
        <v>0</v>
      </c>
      <c r="CX112" s="3">
        <f t="shared" si="93"/>
        <v>0</v>
      </c>
      <c r="CY112" s="3">
        <f t="shared" si="93"/>
        <v>0</v>
      </c>
      <c r="CZ112" s="3">
        <f t="shared" si="93"/>
        <v>0</v>
      </c>
      <c r="DA112" s="3">
        <f t="shared" si="93"/>
        <v>0</v>
      </c>
      <c r="DB112" s="3">
        <f t="shared" si="93"/>
        <v>0</v>
      </c>
      <c r="DC112" s="3">
        <f t="shared" si="93"/>
        <v>0</v>
      </c>
      <c r="DD112" s="3">
        <f t="shared" si="93"/>
        <v>0</v>
      </c>
      <c r="DE112" s="3">
        <f t="shared" si="93"/>
        <v>0</v>
      </c>
      <c r="DF112" s="3">
        <f t="shared" si="93"/>
        <v>0</v>
      </c>
      <c r="DG112" s="3">
        <f aca="true" t="shared" si="94" ref="DG112:DN112">DG121</f>
        <v>0</v>
      </c>
      <c r="DH112" s="3">
        <f t="shared" si="94"/>
        <v>0</v>
      </c>
      <c r="DI112" s="3">
        <f t="shared" si="94"/>
        <v>0</v>
      </c>
      <c r="DJ112" s="3">
        <f t="shared" si="94"/>
        <v>0</v>
      </c>
      <c r="DK112" s="3">
        <f t="shared" si="94"/>
        <v>0</v>
      </c>
      <c r="DL112" s="3">
        <f t="shared" si="94"/>
        <v>0</v>
      </c>
      <c r="DM112" s="3">
        <f t="shared" si="94"/>
        <v>0</v>
      </c>
      <c r="DN112" s="3">
        <f t="shared" si="94"/>
        <v>0</v>
      </c>
    </row>
    <row r="114" spans="1:200" ht="12.75">
      <c r="A114">
        <v>17</v>
      </c>
      <c r="B114">
        <v>1</v>
      </c>
      <c r="C114">
        <f>ROW(SmtRes!A70)</f>
        <v>70</v>
      </c>
      <c r="D114">
        <f>ROW(EtalonRes!A75)</f>
        <v>75</v>
      </c>
      <c r="E114" t="s">
        <v>18</v>
      </c>
      <c r="F114" t="s">
        <v>214</v>
      </c>
      <c r="G114" t="s">
        <v>215</v>
      </c>
      <c r="H114" t="s">
        <v>21</v>
      </c>
      <c r="I114">
        <v>0.21</v>
      </c>
      <c r="J114">
        <v>0</v>
      </c>
      <c r="O114">
        <f aca="true" t="shared" si="95" ref="O114:O119">ROUND(CP114,2)</f>
        <v>971.24</v>
      </c>
      <c r="P114">
        <f aca="true" t="shared" si="96" ref="P114:P119">ROUND(CQ114*I114,2)</f>
        <v>0</v>
      </c>
      <c r="Q114">
        <f aca="true" t="shared" si="97" ref="Q114:Q119">ROUND(CR114*I114,2)</f>
        <v>80.87</v>
      </c>
      <c r="R114">
        <f aca="true" t="shared" si="98" ref="R114:R119">ROUND(CS114*I114,2)</f>
        <v>33.36</v>
      </c>
      <c r="S114">
        <f aca="true" t="shared" si="99" ref="S114:S119">ROUND(CT114*I114,2)</f>
        <v>890.37</v>
      </c>
      <c r="T114">
        <f aca="true" t="shared" si="100" ref="T114:T119">ROUND(CU114*I114,2)</f>
        <v>0</v>
      </c>
      <c r="U114">
        <f aca="true" t="shared" si="101" ref="U114:U119">CV114*I114</f>
        <v>5.228999999999999</v>
      </c>
      <c r="V114">
        <f aca="true" t="shared" si="102" ref="V114:V119">CW114*I114</f>
        <v>0</v>
      </c>
      <c r="W114">
        <f aca="true" t="shared" si="103" ref="W114:W119">ROUND(CX114*I114,2)</f>
        <v>0</v>
      </c>
      <c r="X114">
        <f aca="true" t="shared" si="104" ref="X114:Y119">ROUND(CY114,2)</f>
        <v>685.58</v>
      </c>
      <c r="Y114">
        <f t="shared" si="104"/>
        <v>391.76</v>
      </c>
      <c r="AA114">
        <v>16903935</v>
      </c>
      <c r="AB114">
        <f aca="true" t="shared" si="105" ref="AB114:AB119">ROUND((AC114+AD114+AF114),6)</f>
        <v>355.698</v>
      </c>
      <c r="AC114">
        <f aca="true" t="shared" si="106" ref="AC114:AC119">ROUND((ES114),6)</f>
        <v>0</v>
      </c>
      <c r="AD114">
        <f>ROUND(((((ET114*0.6))-((EU114*0.6)))+AE114),6)</f>
        <v>48.684</v>
      </c>
      <c r="AE114">
        <f>ROUND(((EU114*0.6)),6)</f>
        <v>11.502</v>
      </c>
      <c r="AF114">
        <f>ROUND(((EV114*0.6)),6)</f>
        <v>307.014</v>
      </c>
      <c r="AG114">
        <f aca="true" t="shared" si="107" ref="AG114:AG119">ROUND((AP114),6)</f>
        <v>0</v>
      </c>
      <c r="AH114">
        <f>((EW114*0.6))</f>
        <v>24.9</v>
      </c>
      <c r="AI114">
        <f>((EX114*0.6))</f>
        <v>0</v>
      </c>
      <c r="AJ114">
        <f aca="true" t="shared" si="108" ref="AJ114:AJ119">ROUND((AS114),6)</f>
        <v>0</v>
      </c>
      <c r="AK114">
        <v>592.83</v>
      </c>
      <c r="AL114">
        <v>0</v>
      </c>
      <c r="AM114">
        <v>81.14</v>
      </c>
      <c r="AN114">
        <v>19.17</v>
      </c>
      <c r="AO114">
        <v>511.69</v>
      </c>
      <c r="AP114">
        <v>0</v>
      </c>
      <c r="AQ114">
        <v>41.5</v>
      </c>
      <c r="AR114">
        <v>0</v>
      </c>
      <c r="AS114">
        <v>0</v>
      </c>
      <c r="AT114">
        <v>77</v>
      </c>
      <c r="AU114">
        <v>44</v>
      </c>
      <c r="AV114">
        <v>1</v>
      </c>
      <c r="AW114">
        <v>1</v>
      </c>
      <c r="AZ114">
        <v>1</v>
      </c>
      <c r="BA114">
        <v>13.81</v>
      </c>
      <c r="BB114">
        <v>7.91</v>
      </c>
      <c r="BC114">
        <v>1</v>
      </c>
      <c r="BH114">
        <v>0</v>
      </c>
      <c r="BI114">
        <v>1</v>
      </c>
      <c r="BJ114" t="s">
        <v>216</v>
      </c>
      <c r="BM114">
        <v>61</v>
      </c>
      <c r="BN114">
        <v>0</v>
      </c>
      <c r="BO114" t="s">
        <v>214</v>
      </c>
      <c r="BP114">
        <v>1</v>
      </c>
      <c r="BQ114">
        <v>30</v>
      </c>
      <c r="BS114">
        <v>13.81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77</v>
      </c>
      <c r="CA114">
        <v>44</v>
      </c>
      <c r="CF114">
        <v>0</v>
      </c>
      <c r="CG114">
        <v>0</v>
      </c>
      <c r="CM114">
        <v>0</v>
      </c>
      <c r="CO114">
        <v>0</v>
      </c>
      <c r="CP114">
        <f aca="true" t="shared" si="109" ref="CP114:CP119">(P114+Q114+S114)</f>
        <v>971.24</v>
      </c>
      <c r="CQ114">
        <f aca="true" t="shared" si="110" ref="CQ114:CQ119">((AC114*AW114))*BC114</f>
        <v>0</v>
      </c>
      <c r="CR114">
        <f aca="true" t="shared" si="111" ref="CR114:CR119">((AD114*AV114))*BB114</f>
        <v>385.09044</v>
      </c>
      <c r="CS114">
        <f aca="true" t="shared" si="112" ref="CS114:CS119">((AE114*AV114))*BS114</f>
        <v>158.84262</v>
      </c>
      <c r="CT114">
        <f aca="true" t="shared" si="113" ref="CT114:CT119">((AF114*AV114))*BA114</f>
        <v>4239.86334</v>
      </c>
      <c r="CU114">
        <f aca="true" t="shared" si="114" ref="CU114:CU119">AG114</f>
        <v>0</v>
      </c>
      <c r="CV114">
        <f aca="true" t="shared" si="115" ref="CV114:CV119">(AH114*AV114)</f>
        <v>24.9</v>
      </c>
      <c r="CW114">
        <f aca="true" t="shared" si="116" ref="CW114:CX119">AI114</f>
        <v>0</v>
      </c>
      <c r="CX114">
        <f t="shared" si="116"/>
        <v>0</v>
      </c>
      <c r="CY114">
        <f aca="true" t="shared" si="117" ref="CY114:CY119">S114*(BZ114/100)</f>
        <v>685.5849000000001</v>
      </c>
      <c r="CZ114">
        <f aca="true" t="shared" si="118" ref="CZ114:CZ119">S114*(CA114/100)</f>
        <v>391.7628</v>
      </c>
      <c r="DE114" t="s">
        <v>217</v>
      </c>
      <c r="DF114" t="s">
        <v>217</v>
      </c>
      <c r="DG114" t="s">
        <v>217</v>
      </c>
      <c r="DI114" t="s">
        <v>217</v>
      </c>
      <c r="DJ114" t="s">
        <v>217</v>
      </c>
      <c r="DN114">
        <v>91</v>
      </c>
      <c r="DO114">
        <v>70</v>
      </c>
      <c r="DP114">
        <v>1.047</v>
      </c>
      <c r="DQ114">
        <v>1</v>
      </c>
      <c r="DU114">
        <v>1003</v>
      </c>
      <c r="DV114" t="s">
        <v>21</v>
      </c>
      <c r="DW114" t="s">
        <v>21</v>
      </c>
      <c r="DX114">
        <v>100</v>
      </c>
      <c r="EE114">
        <v>16349924</v>
      </c>
      <c r="EF114">
        <v>30</v>
      </c>
      <c r="EG114" t="s">
        <v>37</v>
      </c>
      <c r="EH114">
        <v>0</v>
      </c>
      <c r="EJ114">
        <v>1</v>
      </c>
      <c r="EK114">
        <v>61</v>
      </c>
      <c r="EL114" t="s">
        <v>218</v>
      </c>
      <c r="EM114" t="s">
        <v>219</v>
      </c>
      <c r="EQ114">
        <v>0</v>
      </c>
      <c r="ER114">
        <v>592.83</v>
      </c>
      <c r="ES114">
        <v>0</v>
      </c>
      <c r="ET114">
        <v>81.14</v>
      </c>
      <c r="EU114">
        <v>19.17</v>
      </c>
      <c r="EV114">
        <v>511.69</v>
      </c>
      <c r="EW114">
        <v>41.5</v>
      </c>
      <c r="EX114">
        <v>0</v>
      </c>
      <c r="EY114">
        <v>0</v>
      </c>
      <c r="EZ114">
        <v>0</v>
      </c>
      <c r="FQ114">
        <v>0</v>
      </c>
      <c r="FR114">
        <f aca="true" t="shared" si="119" ref="FR114:FR119">ROUND(IF(AND(BH114=3,BI114=3),P114,0),2)</f>
        <v>0</v>
      </c>
      <c r="FS114">
        <v>0</v>
      </c>
      <c r="FX114">
        <v>77</v>
      </c>
      <c r="FY114">
        <v>44</v>
      </c>
      <c r="GG114">
        <v>2</v>
      </c>
      <c r="GH114">
        <v>1</v>
      </c>
      <c r="GI114">
        <v>2</v>
      </c>
      <c r="GJ114">
        <v>0</v>
      </c>
      <c r="GK114">
        <f>ROUND(R114*(R12)/100,2)</f>
        <v>56.38</v>
      </c>
      <c r="GL114">
        <f aca="true" t="shared" si="120" ref="GL114:GL119">ROUND(IF(AND(BH114=3,BI114=3,FS114&lt;&gt;0),P114,0),2)</f>
        <v>0</v>
      </c>
      <c r="GM114">
        <f aca="true" t="shared" si="121" ref="GM114:GM119">O114+X114+Y114+GK114</f>
        <v>2104.96</v>
      </c>
      <c r="GN114">
        <f aca="true" t="shared" si="122" ref="GN114:GN119">ROUND(IF(OR(BI114=0,BI114=1),O114+X114+Y114+GK114,0),2)</f>
        <v>2104.96</v>
      </c>
      <c r="GO114">
        <f aca="true" t="shared" si="123" ref="GO114:GO119">ROUND(IF(BI114=2,O114+X114+Y114+GK114,0),2)</f>
        <v>0</v>
      </c>
      <c r="GP114">
        <f aca="true" t="shared" si="124" ref="GP114:GP119">ROUND(IF(BI114=4,O114+X114+Y114+GK114,0),2)</f>
        <v>0</v>
      </c>
      <c r="GR114">
        <v>0</v>
      </c>
    </row>
    <row r="115" spans="1:200" ht="12.75">
      <c r="A115">
        <v>17</v>
      </c>
      <c r="B115">
        <v>1</v>
      </c>
      <c r="C115">
        <f>ROW(SmtRes!A72)</f>
        <v>72</v>
      </c>
      <c r="D115">
        <f>ROW(EtalonRes!A77)</f>
        <v>77</v>
      </c>
      <c r="E115" t="s">
        <v>26</v>
      </c>
      <c r="F115" t="s">
        <v>220</v>
      </c>
      <c r="G115" t="s">
        <v>221</v>
      </c>
      <c r="H115" t="s">
        <v>29</v>
      </c>
      <c r="I115">
        <v>0.12</v>
      </c>
      <c r="J115">
        <v>0</v>
      </c>
      <c r="O115">
        <f t="shared" si="95"/>
        <v>9862.18</v>
      </c>
      <c r="P115">
        <f t="shared" si="96"/>
        <v>0</v>
      </c>
      <c r="Q115">
        <f t="shared" si="97"/>
        <v>0</v>
      </c>
      <c r="R115">
        <f t="shared" si="98"/>
        <v>0</v>
      </c>
      <c r="S115">
        <f t="shared" si="99"/>
        <v>9862.18</v>
      </c>
      <c r="T115">
        <f t="shared" si="100"/>
        <v>0</v>
      </c>
      <c r="U115">
        <f t="shared" si="101"/>
        <v>63.87599999999999</v>
      </c>
      <c r="V115">
        <f t="shared" si="102"/>
        <v>0</v>
      </c>
      <c r="W115">
        <f t="shared" si="103"/>
        <v>0</v>
      </c>
      <c r="X115">
        <f t="shared" si="104"/>
        <v>7100.77</v>
      </c>
      <c r="Y115">
        <f t="shared" si="104"/>
        <v>4339.36</v>
      </c>
      <c r="AA115">
        <v>16903935</v>
      </c>
      <c r="AB115">
        <f t="shared" si="105"/>
        <v>5951.11</v>
      </c>
      <c r="AC115">
        <f t="shared" si="106"/>
        <v>0</v>
      </c>
      <c r="AD115">
        <f>ROUND((((ET115)-(EU115))+AE115),6)</f>
        <v>0</v>
      </c>
      <c r="AE115">
        <f>ROUND((EU115),6)</f>
        <v>0</v>
      </c>
      <c r="AF115">
        <f>ROUND((EV115),6)</f>
        <v>5951.11</v>
      </c>
      <c r="AG115">
        <f t="shared" si="107"/>
        <v>0</v>
      </c>
      <c r="AH115">
        <f>(EW115)</f>
        <v>532.3</v>
      </c>
      <c r="AI115">
        <f>(EX115)</f>
        <v>0</v>
      </c>
      <c r="AJ115">
        <f t="shared" si="108"/>
        <v>0</v>
      </c>
      <c r="AK115">
        <v>5951.11</v>
      </c>
      <c r="AL115">
        <v>0</v>
      </c>
      <c r="AM115">
        <v>0</v>
      </c>
      <c r="AN115">
        <v>0</v>
      </c>
      <c r="AO115">
        <v>5951.11</v>
      </c>
      <c r="AP115">
        <v>0</v>
      </c>
      <c r="AQ115">
        <v>532.3</v>
      </c>
      <c r="AR115">
        <v>0</v>
      </c>
      <c r="AS115">
        <v>0</v>
      </c>
      <c r="AT115">
        <v>72</v>
      </c>
      <c r="AU115">
        <v>44</v>
      </c>
      <c r="AV115">
        <v>1</v>
      </c>
      <c r="AW115">
        <v>1</v>
      </c>
      <c r="AZ115">
        <v>1</v>
      </c>
      <c r="BA115">
        <v>13.81</v>
      </c>
      <c r="BB115">
        <v>1</v>
      </c>
      <c r="BC115">
        <v>1</v>
      </c>
      <c r="BH115">
        <v>0</v>
      </c>
      <c r="BI115">
        <v>1</v>
      </c>
      <c r="BJ115" t="s">
        <v>222</v>
      </c>
      <c r="BM115">
        <v>483</v>
      </c>
      <c r="BN115">
        <v>0</v>
      </c>
      <c r="BO115" t="s">
        <v>220</v>
      </c>
      <c r="BP115">
        <v>1</v>
      </c>
      <c r="BQ115">
        <v>60</v>
      </c>
      <c r="BS115">
        <v>13.81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72</v>
      </c>
      <c r="CA115">
        <v>44</v>
      </c>
      <c r="CF115">
        <v>0</v>
      </c>
      <c r="CG115">
        <v>0</v>
      </c>
      <c r="CM115">
        <v>0</v>
      </c>
      <c r="CO115">
        <v>0</v>
      </c>
      <c r="CP115">
        <f t="shared" si="109"/>
        <v>9862.18</v>
      </c>
      <c r="CQ115">
        <f t="shared" si="110"/>
        <v>0</v>
      </c>
      <c r="CR115">
        <f t="shared" si="111"/>
        <v>0</v>
      </c>
      <c r="CS115">
        <f t="shared" si="112"/>
        <v>0</v>
      </c>
      <c r="CT115">
        <f t="shared" si="113"/>
        <v>82184.8291</v>
      </c>
      <c r="CU115">
        <f t="shared" si="114"/>
        <v>0</v>
      </c>
      <c r="CV115">
        <f t="shared" si="115"/>
        <v>532.3</v>
      </c>
      <c r="CW115">
        <f t="shared" si="116"/>
        <v>0</v>
      </c>
      <c r="CX115">
        <f t="shared" si="116"/>
        <v>0</v>
      </c>
      <c r="CY115">
        <f t="shared" si="117"/>
        <v>7100.7696</v>
      </c>
      <c r="CZ115">
        <f t="shared" si="118"/>
        <v>4339.3592</v>
      </c>
      <c r="DN115">
        <v>80</v>
      </c>
      <c r="DO115">
        <v>55</v>
      </c>
      <c r="DP115">
        <v>1.047</v>
      </c>
      <c r="DQ115">
        <v>1</v>
      </c>
      <c r="DU115">
        <v>1005</v>
      </c>
      <c r="DV115" t="s">
        <v>29</v>
      </c>
      <c r="DW115" t="s">
        <v>29</v>
      </c>
      <c r="DX115">
        <v>100</v>
      </c>
      <c r="EE115">
        <v>16350346</v>
      </c>
      <c r="EF115">
        <v>60</v>
      </c>
      <c r="EG115" t="s">
        <v>23</v>
      </c>
      <c r="EH115">
        <v>0</v>
      </c>
      <c r="EJ115">
        <v>1</v>
      </c>
      <c r="EK115">
        <v>483</v>
      </c>
      <c r="EL115" t="s">
        <v>223</v>
      </c>
      <c r="EM115" t="s">
        <v>224</v>
      </c>
      <c r="EQ115">
        <v>0</v>
      </c>
      <c r="ER115">
        <v>5951.11</v>
      </c>
      <c r="ES115">
        <v>0</v>
      </c>
      <c r="ET115">
        <v>0</v>
      </c>
      <c r="EU115">
        <v>0</v>
      </c>
      <c r="EV115">
        <v>5951.11</v>
      </c>
      <c r="EW115">
        <v>532.3</v>
      </c>
      <c r="EX115">
        <v>0</v>
      </c>
      <c r="EY115">
        <v>0</v>
      </c>
      <c r="EZ115">
        <v>0</v>
      </c>
      <c r="FQ115">
        <v>0</v>
      </c>
      <c r="FR115">
        <f t="shared" si="119"/>
        <v>0</v>
      </c>
      <c r="FS115">
        <v>0</v>
      </c>
      <c r="FX115">
        <v>72</v>
      </c>
      <c r="FY115">
        <v>44</v>
      </c>
      <c r="GG115">
        <v>2</v>
      </c>
      <c r="GH115">
        <v>1</v>
      </c>
      <c r="GI115">
        <v>2</v>
      </c>
      <c r="GJ115">
        <v>0</v>
      </c>
      <c r="GK115">
        <f>ROUND(R115*(R12)/100,2)</f>
        <v>0</v>
      </c>
      <c r="GL115">
        <f t="shared" si="120"/>
        <v>0</v>
      </c>
      <c r="GM115">
        <f t="shared" si="121"/>
        <v>21302.31</v>
      </c>
      <c r="GN115">
        <f t="shared" si="122"/>
        <v>21302.31</v>
      </c>
      <c r="GO115">
        <f t="shared" si="123"/>
        <v>0</v>
      </c>
      <c r="GP115">
        <f t="shared" si="124"/>
        <v>0</v>
      </c>
      <c r="GR115">
        <v>0</v>
      </c>
    </row>
    <row r="116" spans="1:200" ht="12.75">
      <c r="A116">
        <v>17</v>
      </c>
      <c r="B116">
        <v>1</v>
      </c>
      <c r="C116">
        <f>ROW(SmtRes!A79)</f>
        <v>79</v>
      </c>
      <c r="D116">
        <f>ROW(EtalonRes!A84)</f>
        <v>84</v>
      </c>
      <c r="E116" t="s">
        <v>33</v>
      </c>
      <c r="F116" t="s">
        <v>225</v>
      </c>
      <c r="G116" t="s">
        <v>226</v>
      </c>
      <c r="H116" t="s">
        <v>29</v>
      </c>
      <c r="I116">
        <v>0.12</v>
      </c>
      <c r="J116">
        <v>0</v>
      </c>
      <c r="O116">
        <f t="shared" si="95"/>
        <v>40501.45</v>
      </c>
      <c r="P116">
        <f t="shared" si="96"/>
        <v>2044.6</v>
      </c>
      <c r="Q116">
        <f t="shared" si="97"/>
        <v>919.54</v>
      </c>
      <c r="R116">
        <f t="shared" si="98"/>
        <v>99.99</v>
      </c>
      <c r="S116">
        <f t="shared" si="99"/>
        <v>37537.31</v>
      </c>
      <c r="T116">
        <f t="shared" si="100"/>
        <v>0</v>
      </c>
      <c r="U116">
        <f t="shared" si="101"/>
        <v>191.95799999999997</v>
      </c>
      <c r="V116">
        <f t="shared" si="102"/>
        <v>0</v>
      </c>
      <c r="W116">
        <f t="shared" si="103"/>
        <v>0</v>
      </c>
      <c r="X116">
        <f t="shared" si="104"/>
        <v>31906.71</v>
      </c>
      <c r="Y116">
        <f t="shared" si="104"/>
        <v>16516.42</v>
      </c>
      <c r="AA116">
        <v>16903935</v>
      </c>
      <c r="AB116">
        <f t="shared" si="105"/>
        <v>27822.9515</v>
      </c>
      <c r="AC116">
        <f t="shared" si="106"/>
        <v>3347.42</v>
      </c>
      <c r="AD116">
        <f>ROUND(((((ET116*1.25))-((EU116*1.25)))+AE116),6)</f>
        <v>1824.4875</v>
      </c>
      <c r="AE116">
        <f>ROUND(((EU116*1.25)),6)</f>
        <v>60.3375</v>
      </c>
      <c r="AF116">
        <f>ROUND(((EV116*1.15)),6)</f>
        <v>22651.044</v>
      </c>
      <c r="AG116">
        <f t="shared" si="107"/>
        <v>0</v>
      </c>
      <c r="AH116">
        <f>((EW116*1.15))</f>
        <v>1599.6499999999999</v>
      </c>
      <c r="AI116">
        <f>((EX116*1.25))</f>
        <v>0</v>
      </c>
      <c r="AJ116">
        <f t="shared" si="108"/>
        <v>0</v>
      </c>
      <c r="AK116">
        <v>24503.57</v>
      </c>
      <c r="AL116">
        <v>3347.42</v>
      </c>
      <c r="AM116">
        <v>1459.59</v>
      </c>
      <c r="AN116">
        <v>48.27</v>
      </c>
      <c r="AO116">
        <v>19696.56</v>
      </c>
      <c r="AP116">
        <v>0</v>
      </c>
      <c r="AQ116">
        <v>1391</v>
      </c>
      <c r="AR116">
        <v>0</v>
      </c>
      <c r="AS116">
        <v>0</v>
      </c>
      <c r="AT116">
        <v>85</v>
      </c>
      <c r="AU116">
        <v>44</v>
      </c>
      <c r="AV116">
        <v>1</v>
      </c>
      <c r="AW116">
        <v>1</v>
      </c>
      <c r="AZ116">
        <v>1</v>
      </c>
      <c r="BA116">
        <v>13.81</v>
      </c>
      <c r="BB116">
        <v>4.2</v>
      </c>
      <c r="BC116">
        <v>5.09</v>
      </c>
      <c r="BH116">
        <v>0</v>
      </c>
      <c r="BI116">
        <v>1</v>
      </c>
      <c r="BJ116" t="s">
        <v>227</v>
      </c>
      <c r="BM116">
        <v>113</v>
      </c>
      <c r="BN116">
        <v>0</v>
      </c>
      <c r="BO116" t="s">
        <v>225</v>
      </c>
      <c r="BP116">
        <v>1</v>
      </c>
      <c r="BQ116">
        <v>30</v>
      </c>
      <c r="BS116">
        <v>13.81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85</v>
      </c>
      <c r="CA116">
        <v>44</v>
      </c>
      <c r="CF116">
        <v>0</v>
      </c>
      <c r="CG116">
        <v>0</v>
      </c>
      <c r="CM116">
        <v>0</v>
      </c>
      <c r="CO116">
        <v>0</v>
      </c>
      <c r="CP116">
        <f t="shared" si="109"/>
        <v>40501.45</v>
      </c>
      <c r="CQ116">
        <f t="shared" si="110"/>
        <v>17038.3678</v>
      </c>
      <c r="CR116">
        <f t="shared" si="111"/>
        <v>7662.8475</v>
      </c>
      <c r="CS116">
        <f t="shared" si="112"/>
        <v>833.260875</v>
      </c>
      <c r="CT116">
        <f t="shared" si="113"/>
        <v>312810.91764000006</v>
      </c>
      <c r="CU116">
        <f t="shared" si="114"/>
        <v>0</v>
      </c>
      <c r="CV116">
        <f t="shared" si="115"/>
        <v>1599.6499999999999</v>
      </c>
      <c r="CW116">
        <f t="shared" si="116"/>
        <v>0</v>
      </c>
      <c r="CX116">
        <f t="shared" si="116"/>
        <v>0</v>
      </c>
      <c r="CY116">
        <f t="shared" si="117"/>
        <v>31906.713499999998</v>
      </c>
      <c r="CZ116">
        <f t="shared" si="118"/>
        <v>16516.4164</v>
      </c>
      <c r="DE116" t="s">
        <v>31</v>
      </c>
      <c r="DF116" t="s">
        <v>31</v>
      </c>
      <c r="DG116" t="s">
        <v>32</v>
      </c>
      <c r="DI116" t="s">
        <v>32</v>
      </c>
      <c r="DJ116" t="s">
        <v>31</v>
      </c>
      <c r="DN116">
        <v>100</v>
      </c>
      <c r="DO116">
        <v>64</v>
      </c>
      <c r="DP116">
        <v>1.025</v>
      </c>
      <c r="DQ116">
        <v>1</v>
      </c>
      <c r="DU116">
        <v>1005</v>
      </c>
      <c r="DV116" t="s">
        <v>29</v>
      </c>
      <c r="DW116" t="s">
        <v>29</v>
      </c>
      <c r="DX116">
        <v>100</v>
      </c>
      <c r="EE116">
        <v>16349976</v>
      </c>
      <c r="EF116">
        <v>30</v>
      </c>
      <c r="EG116" t="s">
        <v>37</v>
      </c>
      <c r="EH116">
        <v>0</v>
      </c>
      <c r="EJ116">
        <v>1</v>
      </c>
      <c r="EK116">
        <v>113</v>
      </c>
      <c r="EL116" t="s">
        <v>112</v>
      </c>
      <c r="EM116" t="s">
        <v>113</v>
      </c>
      <c r="EQ116">
        <v>0</v>
      </c>
      <c r="ER116">
        <v>24503.57</v>
      </c>
      <c r="ES116">
        <v>3347.42</v>
      </c>
      <c r="ET116">
        <v>1459.59</v>
      </c>
      <c r="EU116">
        <v>48.27</v>
      </c>
      <c r="EV116">
        <v>19696.56</v>
      </c>
      <c r="EW116">
        <v>1391</v>
      </c>
      <c r="EX116">
        <v>0</v>
      </c>
      <c r="EY116">
        <v>0</v>
      </c>
      <c r="EZ116">
        <v>0</v>
      </c>
      <c r="FQ116">
        <v>0</v>
      </c>
      <c r="FR116">
        <f t="shared" si="119"/>
        <v>0</v>
      </c>
      <c r="FS116">
        <v>0</v>
      </c>
      <c r="FX116">
        <v>85</v>
      </c>
      <c r="FY116">
        <v>44</v>
      </c>
      <c r="GG116">
        <v>2</v>
      </c>
      <c r="GH116">
        <v>1</v>
      </c>
      <c r="GI116">
        <v>2</v>
      </c>
      <c r="GJ116">
        <v>0</v>
      </c>
      <c r="GK116">
        <f>ROUND(R116*(R12)/100,2)</f>
        <v>168.98</v>
      </c>
      <c r="GL116">
        <f t="shared" si="120"/>
        <v>0</v>
      </c>
      <c r="GM116">
        <f t="shared" si="121"/>
        <v>89093.56</v>
      </c>
      <c r="GN116">
        <f t="shared" si="122"/>
        <v>89093.56</v>
      </c>
      <c r="GO116">
        <f t="shared" si="123"/>
        <v>0</v>
      </c>
      <c r="GP116">
        <f t="shared" si="124"/>
        <v>0</v>
      </c>
      <c r="GR116">
        <v>0</v>
      </c>
    </row>
    <row r="117" spans="1:200" ht="12.75">
      <c r="A117">
        <v>18</v>
      </c>
      <c r="B117">
        <v>1</v>
      </c>
      <c r="C117">
        <v>79</v>
      </c>
      <c r="E117" t="s">
        <v>40</v>
      </c>
      <c r="F117" t="s">
        <v>228</v>
      </c>
      <c r="G117" t="s">
        <v>229</v>
      </c>
      <c r="H117" t="s">
        <v>230</v>
      </c>
      <c r="I117">
        <f>I116*J117</f>
        <v>0.48</v>
      </c>
      <c r="J117">
        <v>4</v>
      </c>
      <c r="O117">
        <f t="shared" si="95"/>
        <v>1319.79</v>
      </c>
      <c r="P117">
        <f t="shared" si="96"/>
        <v>1319.79</v>
      </c>
      <c r="Q117">
        <f t="shared" si="97"/>
        <v>0</v>
      </c>
      <c r="R117">
        <f t="shared" si="98"/>
        <v>0</v>
      </c>
      <c r="S117">
        <f t="shared" si="99"/>
        <v>0</v>
      </c>
      <c r="T117">
        <f t="shared" si="100"/>
        <v>0</v>
      </c>
      <c r="U117">
        <f t="shared" si="101"/>
        <v>0</v>
      </c>
      <c r="V117">
        <f t="shared" si="102"/>
        <v>0</v>
      </c>
      <c r="W117">
        <f t="shared" si="103"/>
        <v>0</v>
      </c>
      <c r="X117">
        <f t="shared" si="104"/>
        <v>0</v>
      </c>
      <c r="Y117">
        <f t="shared" si="104"/>
        <v>0</v>
      </c>
      <c r="AA117">
        <v>16903935</v>
      </c>
      <c r="AB117">
        <f t="shared" si="105"/>
        <v>1347.82</v>
      </c>
      <c r="AC117">
        <f t="shared" si="106"/>
        <v>1347.82</v>
      </c>
      <c r="AD117">
        <f>ROUND((((ET117)-(EU117))+AE117),6)</f>
        <v>0</v>
      </c>
      <c r="AE117">
        <f>ROUND((EU117),6)</f>
        <v>0</v>
      </c>
      <c r="AF117">
        <f>ROUND((EV117),6)</f>
        <v>0</v>
      </c>
      <c r="AG117">
        <f t="shared" si="107"/>
        <v>0</v>
      </c>
      <c r="AH117">
        <f>(EW117)</f>
        <v>0</v>
      </c>
      <c r="AI117">
        <f>(EX117)</f>
        <v>0</v>
      </c>
      <c r="AJ117">
        <f t="shared" si="108"/>
        <v>0</v>
      </c>
      <c r="AK117">
        <v>1347.82</v>
      </c>
      <c r="AL117">
        <v>1347.82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2.04</v>
      </c>
      <c r="BH117">
        <v>3</v>
      </c>
      <c r="BI117">
        <v>1</v>
      </c>
      <c r="BJ117" t="s">
        <v>231</v>
      </c>
      <c r="BM117">
        <v>113</v>
      </c>
      <c r="BN117">
        <v>0</v>
      </c>
      <c r="BO117" t="s">
        <v>228</v>
      </c>
      <c r="BP117">
        <v>1</v>
      </c>
      <c r="BQ117">
        <v>30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0</v>
      </c>
      <c r="CA117">
        <v>0</v>
      </c>
      <c r="CF117">
        <v>0</v>
      </c>
      <c r="CG117">
        <v>0</v>
      </c>
      <c r="CM117">
        <v>0</v>
      </c>
      <c r="CO117">
        <v>0</v>
      </c>
      <c r="CP117">
        <f t="shared" si="109"/>
        <v>1319.79</v>
      </c>
      <c r="CQ117">
        <f t="shared" si="110"/>
        <v>2749.5528</v>
      </c>
      <c r="CR117">
        <f t="shared" si="111"/>
        <v>0</v>
      </c>
      <c r="CS117">
        <f t="shared" si="112"/>
        <v>0</v>
      </c>
      <c r="CT117">
        <f t="shared" si="113"/>
        <v>0</v>
      </c>
      <c r="CU117">
        <f t="shared" si="114"/>
        <v>0</v>
      </c>
      <c r="CV117">
        <f t="shared" si="115"/>
        <v>0</v>
      </c>
      <c r="CW117">
        <f t="shared" si="116"/>
        <v>0</v>
      </c>
      <c r="CX117">
        <f t="shared" si="116"/>
        <v>0</v>
      </c>
      <c r="CY117">
        <f t="shared" si="117"/>
        <v>0</v>
      </c>
      <c r="CZ117">
        <f t="shared" si="118"/>
        <v>0</v>
      </c>
      <c r="DN117">
        <v>100</v>
      </c>
      <c r="DO117">
        <v>64</v>
      </c>
      <c r="DP117">
        <v>1.025</v>
      </c>
      <c r="DQ117">
        <v>1</v>
      </c>
      <c r="DU117">
        <v>1010</v>
      </c>
      <c r="DV117" t="s">
        <v>230</v>
      </c>
      <c r="DW117" t="s">
        <v>230</v>
      </c>
      <c r="DX117">
        <v>1</v>
      </c>
      <c r="EE117">
        <v>16349976</v>
      </c>
      <c r="EF117">
        <v>30</v>
      </c>
      <c r="EG117" t="s">
        <v>37</v>
      </c>
      <c r="EH117">
        <v>0</v>
      </c>
      <c r="EJ117">
        <v>1</v>
      </c>
      <c r="EK117">
        <v>113</v>
      </c>
      <c r="EL117" t="s">
        <v>112</v>
      </c>
      <c r="EM117" t="s">
        <v>113</v>
      </c>
      <c r="EQ117">
        <v>0</v>
      </c>
      <c r="ER117">
        <v>1347.82</v>
      </c>
      <c r="ES117">
        <v>1347.82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0</v>
      </c>
      <c r="FQ117">
        <v>0</v>
      </c>
      <c r="FR117">
        <f t="shared" si="119"/>
        <v>0</v>
      </c>
      <c r="FS117">
        <v>0</v>
      </c>
      <c r="FX117">
        <v>0</v>
      </c>
      <c r="FY117">
        <v>0</v>
      </c>
      <c r="GG117">
        <v>2</v>
      </c>
      <c r="GH117">
        <v>1</v>
      </c>
      <c r="GI117">
        <v>2</v>
      </c>
      <c r="GJ117">
        <v>0</v>
      </c>
      <c r="GK117">
        <f>ROUND(R117*(R12)/100,2)</f>
        <v>0</v>
      </c>
      <c r="GL117">
        <f t="shared" si="120"/>
        <v>0</v>
      </c>
      <c r="GM117">
        <f t="shared" si="121"/>
        <v>1319.79</v>
      </c>
      <c r="GN117">
        <f t="shared" si="122"/>
        <v>1319.79</v>
      </c>
      <c r="GO117">
        <f t="shared" si="123"/>
        <v>0</v>
      </c>
      <c r="GP117">
        <f t="shared" si="124"/>
        <v>0</v>
      </c>
      <c r="GR117">
        <v>0</v>
      </c>
    </row>
    <row r="118" spans="1:200" ht="12.75">
      <c r="A118">
        <v>18</v>
      </c>
      <c r="B118">
        <v>1</v>
      </c>
      <c r="C118">
        <v>77</v>
      </c>
      <c r="E118" t="s">
        <v>45</v>
      </c>
      <c r="F118" t="s">
        <v>232</v>
      </c>
      <c r="G118" t="s">
        <v>233</v>
      </c>
      <c r="H118" t="s">
        <v>43</v>
      </c>
      <c r="I118">
        <f>I116*J118</f>
        <v>12.24</v>
      </c>
      <c r="J118">
        <v>102</v>
      </c>
      <c r="O118">
        <f t="shared" si="95"/>
        <v>33917.69</v>
      </c>
      <c r="P118">
        <f t="shared" si="96"/>
        <v>33917.69</v>
      </c>
      <c r="Q118">
        <f t="shared" si="97"/>
        <v>0</v>
      </c>
      <c r="R118">
        <f t="shared" si="98"/>
        <v>0</v>
      </c>
      <c r="S118">
        <f t="shared" si="99"/>
        <v>0</v>
      </c>
      <c r="T118">
        <f t="shared" si="100"/>
        <v>0</v>
      </c>
      <c r="U118">
        <f t="shared" si="101"/>
        <v>0</v>
      </c>
      <c r="V118">
        <f t="shared" si="102"/>
        <v>0</v>
      </c>
      <c r="W118">
        <f t="shared" si="103"/>
        <v>0</v>
      </c>
      <c r="X118">
        <f t="shared" si="104"/>
        <v>0</v>
      </c>
      <c r="Y118">
        <f t="shared" si="104"/>
        <v>0</v>
      </c>
      <c r="AA118">
        <v>16903935</v>
      </c>
      <c r="AB118">
        <f t="shared" si="105"/>
        <v>827.18</v>
      </c>
      <c r="AC118">
        <f t="shared" si="106"/>
        <v>827.18</v>
      </c>
      <c r="AD118">
        <f>ROUND((((ET118)-(EU118))+AE118),6)</f>
        <v>0</v>
      </c>
      <c r="AE118">
        <f>ROUND((EU118),6)</f>
        <v>0</v>
      </c>
      <c r="AF118">
        <f>ROUND((EV118),6)</f>
        <v>0</v>
      </c>
      <c r="AG118">
        <f t="shared" si="107"/>
        <v>0</v>
      </c>
      <c r="AH118">
        <f>(EW118)</f>
        <v>0</v>
      </c>
      <c r="AI118">
        <f>(EX118)</f>
        <v>0</v>
      </c>
      <c r="AJ118">
        <f t="shared" si="108"/>
        <v>0</v>
      </c>
      <c r="AK118">
        <v>827.18</v>
      </c>
      <c r="AL118">
        <v>827.18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3.35</v>
      </c>
      <c r="BH118">
        <v>3</v>
      </c>
      <c r="BI118">
        <v>1</v>
      </c>
      <c r="BJ118" t="s">
        <v>234</v>
      </c>
      <c r="BM118">
        <v>113</v>
      </c>
      <c r="BN118">
        <v>0</v>
      </c>
      <c r="BO118" t="s">
        <v>232</v>
      </c>
      <c r="BP118">
        <v>1</v>
      </c>
      <c r="BQ118">
        <v>30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0</v>
      </c>
      <c r="CA118">
        <v>0</v>
      </c>
      <c r="CF118">
        <v>0</v>
      </c>
      <c r="CG118">
        <v>0</v>
      </c>
      <c r="CM118">
        <v>0</v>
      </c>
      <c r="CO118">
        <v>0</v>
      </c>
      <c r="CP118">
        <f t="shared" si="109"/>
        <v>33917.69</v>
      </c>
      <c r="CQ118">
        <f t="shared" si="110"/>
        <v>2771.053</v>
      </c>
      <c r="CR118">
        <f t="shared" si="111"/>
        <v>0</v>
      </c>
      <c r="CS118">
        <f t="shared" si="112"/>
        <v>0</v>
      </c>
      <c r="CT118">
        <f t="shared" si="113"/>
        <v>0</v>
      </c>
      <c r="CU118">
        <f t="shared" si="114"/>
        <v>0</v>
      </c>
      <c r="CV118">
        <f t="shared" si="115"/>
        <v>0</v>
      </c>
      <c r="CW118">
        <f t="shared" si="116"/>
        <v>0</v>
      </c>
      <c r="CX118">
        <f t="shared" si="116"/>
        <v>0</v>
      </c>
      <c r="CY118">
        <f t="shared" si="117"/>
        <v>0</v>
      </c>
      <c r="CZ118">
        <f t="shared" si="118"/>
        <v>0</v>
      </c>
      <c r="DN118">
        <v>100</v>
      </c>
      <c r="DO118">
        <v>64</v>
      </c>
      <c r="DP118">
        <v>1.025</v>
      </c>
      <c r="DQ118">
        <v>1</v>
      </c>
      <c r="DU118">
        <v>1005</v>
      </c>
      <c r="DV118" t="s">
        <v>43</v>
      </c>
      <c r="DW118" t="s">
        <v>43</v>
      </c>
      <c r="DX118">
        <v>1</v>
      </c>
      <c r="EE118">
        <v>16349976</v>
      </c>
      <c r="EF118">
        <v>30</v>
      </c>
      <c r="EG118" t="s">
        <v>37</v>
      </c>
      <c r="EH118">
        <v>0</v>
      </c>
      <c r="EJ118">
        <v>1</v>
      </c>
      <c r="EK118">
        <v>113</v>
      </c>
      <c r="EL118" t="s">
        <v>112</v>
      </c>
      <c r="EM118" t="s">
        <v>113</v>
      </c>
      <c r="EQ118">
        <v>0</v>
      </c>
      <c r="ER118">
        <v>827.18</v>
      </c>
      <c r="ES118">
        <v>827.18</v>
      </c>
      <c r="ET118">
        <v>0</v>
      </c>
      <c r="EU118">
        <v>0</v>
      </c>
      <c r="EV118">
        <v>0</v>
      </c>
      <c r="EW118">
        <v>0</v>
      </c>
      <c r="EX118">
        <v>0</v>
      </c>
      <c r="EZ118">
        <v>0</v>
      </c>
      <c r="FQ118">
        <v>0</v>
      </c>
      <c r="FR118">
        <f t="shared" si="119"/>
        <v>0</v>
      </c>
      <c r="FS118">
        <v>0</v>
      </c>
      <c r="FX118">
        <v>0</v>
      </c>
      <c r="FY118">
        <v>0</v>
      </c>
      <c r="GG118">
        <v>2</v>
      </c>
      <c r="GH118">
        <v>1</v>
      </c>
      <c r="GI118">
        <v>2</v>
      </c>
      <c r="GJ118">
        <v>0</v>
      </c>
      <c r="GK118">
        <f>ROUND(R118*(R12)/100,2)</f>
        <v>0</v>
      </c>
      <c r="GL118">
        <f t="shared" si="120"/>
        <v>0</v>
      </c>
      <c r="GM118">
        <f t="shared" si="121"/>
        <v>33917.69</v>
      </c>
      <c r="GN118">
        <f t="shared" si="122"/>
        <v>33917.69</v>
      </c>
      <c r="GO118">
        <f t="shared" si="123"/>
        <v>0</v>
      </c>
      <c r="GP118">
        <f t="shared" si="124"/>
        <v>0</v>
      </c>
      <c r="GR118">
        <v>0</v>
      </c>
    </row>
    <row r="119" spans="1:200" ht="12.75">
      <c r="A119">
        <v>17</v>
      </c>
      <c r="B119">
        <v>1</v>
      </c>
      <c r="C119">
        <f>ROW(SmtRes!A81)</f>
        <v>81</v>
      </c>
      <c r="D119">
        <f>ROW(EtalonRes!A88)</f>
        <v>88</v>
      </c>
      <c r="E119" t="s">
        <v>50</v>
      </c>
      <c r="F119" t="s">
        <v>214</v>
      </c>
      <c r="G119" t="s">
        <v>235</v>
      </c>
      <c r="H119" t="s">
        <v>21</v>
      </c>
      <c r="I119">
        <v>0.21</v>
      </c>
      <c r="J119">
        <v>0</v>
      </c>
      <c r="O119">
        <f t="shared" si="95"/>
        <v>1875.02</v>
      </c>
      <c r="P119">
        <f t="shared" si="96"/>
        <v>0</v>
      </c>
      <c r="Q119">
        <f t="shared" si="97"/>
        <v>168.48</v>
      </c>
      <c r="R119">
        <f t="shared" si="98"/>
        <v>69.49</v>
      </c>
      <c r="S119">
        <f t="shared" si="99"/>
        <v>1706.54</v>
      </c>
      <c r="T119">
        <f t="shared" si="100"/>
        <v>0</v>
      </c>
      <c r="U119">
        <f t="shared" si="101"/>
        <v>10.022249999999998</v>
      </c>
      <c r="V119">
        <f t="shared" si="102"/>
        <v>0</v>
      </c>
      <c r="W119">
        <f t="shared" si="103"/>
        <v>0</v>
      </c>
      <c r="X119">
        <f t="shared" si="104"/>
        <v>1314.04</v>
      </c>
      <c r="Y119">
        <f t="shared" si="104"/>
        <v>750.88</v>
      </c>
      <c r="AA119">
        <v>16903935</v>
      </c>
      <c r="AB119">
        <f t="shared" si="105"/>
        <v>689.8685</v>
      </c>
      <c r="AC119">
        <f t="shared" si="106"/>
        <v>0</v>
      </c>
      <c r="AD119">
        <f>ROUND(((((ET119*1.25))-((EU119*1.25)))+AE119),6)</f>
        <v>101.425</v>
      </c>
      <c r="AE119">
        <f>ROUND(((EU119*1.25)),6)</f>
        <v>23.9625</v>
      </c>
      <c r="AF119">
        <f>ROUND(((EV119*1.15)),6)</f>
        <v>588.4435</v>
      </c>
      <c r="AG119">
        <f t="shared" si="107"/>
        <v>0</v>
      </c>
      <c r="AH119">
        <f>((EW119*1.15))</f>
        <v>47.724999999999994</v>
      </c>
      <c r="AI119">
        <f>((EX119*1.25))</f>
        <v>0</v>
      </c>
      <c r="AJ119">
        <f t="shared" si="108"/>
        <v>0</v>
      </c>
      <c r="AK119">
        <v>592.83</v>
      </c>
      <c r="AL119">
        <v>0</v>
      </c>
      <c r="AM119">
        <v>81.14</v>
      </c>
      <c r="AN119">
        <v>19.17</v>
      </c>
      <c r="AO119">
        <v>511.69</v>
      </c>
      <c r="AP119">
        <v>0</v>
      </c>
      <c r="AQ119">
        <v>41.5</v>
      </c>
      <c r="AR119">
        <v>0</v>
      </c>
      <c r="AS119">
        <v>0</v>
      </c>
      <c r="AT119">
        <v>77</v>
      </c>
      <c r="AU119">
        <v>44</v>
      </c>
      <c r="AV119">
        <v>1</v>
      </c>
      <c r="AW119">
        <v>1</v>
      </c>
      <c r="AZ119">
        <v>1</v>
      </c>
      <c r="BA119">
        <v>13.81</v>
      </c>
      <c r="BB119">
        <v>7.91</v>
      </c>
      <c r="BC119">
        <v>1</v>
      </c>
      <c r="BH119">
        <v>0</v>
      </c>
      <c r="BI119">
        <v>1</v>
      </c>
      <c r="BJ119" t="s">
        <v>216</v>
      </c>
      <c r="BM119">
        <v>61</v>
      </c>
      <c r="BN119">
        <v>0</v>
      </c>
      <c r="BO119" t="s">
        <v>214</v>
      </c>
      <c r="BP119">
        <v>1</v>
      </c>
      <c r="BQ119">
        <v>30</v>
      </c>
      <c r="BS119">
        <v>13.81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77</v>
      </c>
      <c r="CA119">
        <v>44</v>
      </c>
      <c r="CF119">
        <v>0</v>
      </c>
      <c r="CG119">
        <v>0</v>
      </c>
      <c r="CM119">
        <v>0</v>
      </c>
      <c r="CO119">
        <v>0</v>
      </c>
      <c r="CP119">
        <f t="shared" si="109"/>
        <v>1875.02</v>
      </c>
      <c r="CQ119">
        <f t="shared" si="110"/>
        <v>0</v>
      </c>
      <c r="CR119">
        <f t="shared" si="111"/>
        <v>802.27175</v>
      </c>
      <c r="CS119">
        <f t="shared" si="112"/>
        <v>330.922125</v>
      </c>
      <c r="CT119">
        <f t="shared" si="113"/>
        <v>8126.404735</v>
      </c>
      <c r="CU119">
        <f t="shared" si="114"/>
        <v>0</v>
      </c>
      <c r="CV119">
        <f t="shared" si="115"/>
        <v>47.724999999999994</v>
      </c>
      <c r="CW119">
        <f t="shared" si="116"/>
        <v>0</v>
      </c>
      <c r="CX119">
        <f t="shared" si="116"/>
        <v>0</v>
      </c>
      <c r="CY119">
        <f t="shared" si="117"/>
        <v>1314.0358</v>
      </c>
      <c r="CZ119">
        <f t="shared" si="118"/>
        <v>750.8776</v>
      </c>
      <c r="DE119" t="s">
        <v>31</v>
      </c>
      <c r="DF119" t="s">
        <v>31</v>
      </c>
      <c r="DG119" t="s">
        <v>32</v>
      </c>
      <c r="DI119" t="s">
        <v>32</v>
      </c>
      <c r="DJ119" t="s">
        <v>31</v>
      </c>
      <c r="DN119">
        <v>91</v>
      </c>
      <c r="DO119">
        <v>70</v>
      </c>
      <c r="DP119">
        <v>1.047</v>
      </c>
      <c r="DQ119">
        <v>1</v>
      </c>
      <c r="DU119">
        <v>1003</v>
      </c>
      <c r="DV119" t="s">
        <v>21</v>
      </c>
      <c r="DW119" t="s">
        <v>21</v>
      </c>
      <c r="DX119">
        <v>100</v>
      </c>
      <c r="EE119">
        <v>16349924</v>
      </c>
      <c r="EF119">
        <v>30</v>
      </c>
      <c r="EG119" t="s">
        <v>37</v>
      </c>
      <c r="EH119">
        <v>0</v>
      </c>
      <c r="EJ119">
        <v>1</v>
      </c>
      <c r="EK119">
        <v>61</v>
      </c>
      <c r="EL119" t="s">
        <v>218</v>
      </c>
      <c r="EM119" t="s">
        <v>219</v>
      </c>
      <c r="EQ119">
        <v>0</v>
      </c>
      <c r="ER119">
        <v>592.83</v>
      </c>
      <c r="ES119">
        <v>0</v>
      </c>
      <c r="ET119">
        <v>81.14</v>
      </c>
      <c r="EU119">
        <v>19.17</v>
      </c>
      <c r="EV119">
        <v>511.69</v>
      </c>
      <c r="EW119">
        <v>41.5</v>
      </c>
      <c r="EX119">
        <v>0</v>
      </c>
      <c r="EY119">
        <v>0</v>
      </c>
      <c r="EZ119">
        <v>0</v>
      </c>
      <c r="FQ119">
        <v>0</v>
      </c>
      <c r="FR119">
        <f t="shared" si="119"/>
        <v>0</v>
      </c>
      <c r="FS119">
        <v>0</v>
      </c>
      <c r="FX119">
        <v>77</v>
      </c>
      <c r="FY119">
        <v>44</v>
      </c>
      <c r="GG119">
        <v>2</v>
      </c>
      <c r="GH119">
        <v>1</v>
      </c>
      <c r="GI119">
        <v>2</v>
      </c>
      <c r="GJ119">
        <v>0</v>
      </c>
      <c r="GK119">
        <f>ROUND(R119*(R12)/100,2)</f>
        <v>117.44</v>
      </c>
      <c r="GL119">
        <f t="shared" si="120"/>
        <v>0</v>
      </c>
      <c r="GM119">
        <f t="shared" si="121"/>
        <v>4057.38</v>
      </c>
      <c r="GN119">
        <f t="shared" si="122"/>
        <v>4057.38</v>
      </c>
      <c r="GO119">
        <f t="shared" si="123"/>
        <v>0</v>
      </c>
      <c r="GP119">
        <f t="shared" si="124"/>
        <v>0</v>
      </c>
      <c r="GR119">
        <v>0</v>
      </c>
    </row>
    <row r="121" spans="1:118" ht="12.75">
      <c r="A121" s="2">
        <v>51</v>
      </c>
      <c r="B121" s="2">
        <f>B110</f>
        <v>1</v>
      </c>
      <c r="C121" s="2">
        <f>A110</f>
        <v>4</v>
      </c>
      <c r="D121" s="2">
        <f>ROW(A110)</f>
        <v>110</v>
      </c>
      <c r="E121" s="2"/>
      <c r="F121" s="2" t="str">
        <f>IF(F110&lt;&gt;"",F110,"")</f>
        <v>Новый раздел</v>
      </c>
      <c r="G121" s="2" t="str">
        <f>IF(G110&lt;&gt;"",G110,"")</f>
        <v>Текущий ремонт входной группы (со стороны ул. Люблинская) здания МДЦМП Марьино</v>
      </c>
      <c r="H121" s="2"/>
      <c r="I121" s="2"/>
      <c r="J121" s="2"/>
      <c r="K121" s="2"/>
      <c r="L121" s="2"/>
      <c r="M121" s="2"/>
      <c r="N121" s="2"/>
      <c r="O121" s="2">
        <f aca="true" t="shared" si="125" ref="O121:T121">ROUND(AB121,2)</f>
        <v>88447.37</v>
      </c>
      <c r="P121" s="2">
        <f t="shared" si="125"/>
        <v>37282.08</v>
      </c>
      <c r="Q121" s="2">
        <f t="shared" si="125"/>
        <v>1168.89</v>
      </c>
      <c r="R121" s="2">
        <f t="shared" si="125"/>
        <v>202.84</v>
      </c>
      <c r="S121" s="2">
        <f t="shared" si="125"/>
        <v>49996.4</v>
      </c>
      <c r="T121" s="2">
        <f t="shared" si="125"/>
        <v>0</v>
      </c>
      <c r="U121" s="2">
        <f>AH121</f>
        <v>271.08525</v>
      </c>
      <c r="V121" s="2">
        <f>AI121</f>
        <v>0</v>
      </c>
      <c r="W121" s="2">
        <f>ROUND(AJ121,2)</f>
        <v>0</v>
      </c>
      <c r="X121" s="2">
        <f>ROUND(AK121,2)</f>
        <v>41007.1</v>
      </c>
      <c r="Y121" s="2">
        <f>ROUND(AL121,2)</f>
        <v>21998.42</v>
      </c>
      <c r="Z121" s="2"/>
      <c r="AA121" s="2"/>
      <c r="AB121" s="2">
        <f>ROUND(SUMIF(AA114:AA119,"=16903935",O114:O119),2)</f>
        <v>88447.37</v>
      </c>
      <c r="AC121" s="2">
        <f>ROUND(SUMIF(AA114:AA119,"=16903935",P114:P119),2)</f>
        <v>37282.08</v>
      </c>
      <c r="AD121" s="2">
        <f>ROUND(SUMIF(AA114:AA119,"=16903935",Q114:Q119),2)</f>
        <v>1168.89</v>
      </c>
      <c r="AE121" s="2">
        <f>ROUND(SUMIF(AA114:AA119,"=16903935",R114:R119),2)</f>
        <v>202.84</v>
      </c>
      <c r="AF121" s="2">
        <f>ROUND(SUMIF(AA114:AA119,"=16903935",S114:S119),2)</f>
        <v>49996.4</v>
      </c>
      <c r="AG121" s="2">
        <f>ROUND(SUMIF(AA114:AA119,"=16903935",T114:T119),2)</f>
        <v>0</v>
      </c>
      <c r="AH121" s="2">
        <f>SUMIF(AA114:AA119,"=16903935",U114:U119)</f>
        <v>271.08525</v>
      </c>
      <c r="AI121" s="2">
        <f>SUMIF(AA114:AA119,"=16903935",V114:V119)</f>
        <v>0</v>
      </c>
      <c r="AJ121" s="2">
        <f>ROUND(SUMIF(AA114:AA119,"=16903935",W114:W119),2)</f>
        <v>0</v>
      </c>
      <c r="AK121" s="2">
        <f>ROUND(SUMIF(AA114:AA119,"=16903935",X114:X119),2)</f>
        <v>41007.1</v>
      </c>
      <c r="AL121" s="2">
        <f>ROUND(SUMIF(AA114:AA119,"=16903935",Y114:Y119),2)</f>
        <v>21998.42</v>
      </c>
      <c r="AM121" s="2"/>
      <c r="AN121" s="2"/>
      <c r="AO121" s="2">
        <f aca="true" t="shared" si="126" ref="AO121:AU121">ROUND(BB121,2)</f>
        <v>0</v>
      </c>
      <c r="AP121" s="2">
        <f t="shared" si="126"/>
        <v>0</v>
      </c>
      <c r="AQ121" s="2">
        <f t="shared" si="126"/>
        <v>0</v>
      </c>
      <c r="AR121" s="2">
        <f t="shared" si="126"/>
        <v>151795.69</v>
      </c>
      <c r="AS121" s="2">
        <f t="shared" si="126"/>
        <v>151795.69</v>
      </c>
      <c r="AT121" s="2">
        <f t="shared" si="126"/>
        <v>0</v>
      </c>
      <c r="AU121" s="2">
        <f t="shared" si="126"/>
        <v>0</v>
      </c>
      <c r="AV121" s="2"/>
      <c r="AW121" s="2"/>
      <c r="AX121" s="2"/>
      <c r="AY121" s="2"/>
      <c r="AZ121" s="2"/>
      <c r="BA121" s="2"/>
      <c r="BB121" s="2">
        <f>ROUND(SUMIF(AA114:AA119,"=16903935",FQ114:FQ119),2)</f>
        <v>0</v>
      </c>
      <c r="BC121" s="2">
        <f>ROUND(SUMIF(AA114:AA119,"=16903935",FR114:FR119),2)</f>
        <v>0</v>
      </c>
      <c r="BD121" s="2">
        <f>ROUND(SUMIF(AA114:AA119,"=16903935",GL114:GL119),2)</f>
        <v>0</v>
      </c>
      <c r="BE121" s="2">
        <f>ROUND(SUMIF(AA114:AA119,"=16903935",GM114:GM119),2)</f>
        <v>151795.69</v>
      </c>
      <c r="BF121" s="2">
        <f>ROUND(SUMIF(AA114:AA119,"=16903935",GN114:GN119),2)</f>
        <v>151795.69</v>
      </c>
      <c r="BG121" s="2">
        <f>ROUND(SUMIF(AA114:AA119,"=16903935",GO114:GO119),2)</f>
        <v>0</v>
      </c>
      <c r="BH121" s="2">
        <f>ROUND(SUMIF(AA114:AA119,"=16903935",GP114:GP119),2)</f>
        <v>0</v>
      </c>
      <c r="BI121" s="2"/>
      <c r="BJ121" s="2"/>
      <c r="BK121" s="2"/>
      <c r="BL121" s="2"/>
      <c r="BM121" s="2"/>
      <c r="BN121" s="2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>
        <v>0</v>
      </c>
    </row>
    <row r="123" spans="1:16" ht="12.75">
      <c r="A123" s="4">
        <v>50</v>
      </c>
      <c r="B123" s="4">
        <v>0</v>
      </c>
      <c r="C123" s="4">
        <v>0</v>
      </c>
      <c r="D123" s="4">
        <v>1</v>
      </c>
      <c r="E123" s="4">
        <v>201</v>
      </c>
      <c r="F123" s="4">
        <f>ROUND(Source!O121,O123)</f>
        <v>88447.37</v>
      </c>
      <c r="G123" s="4" t="s">
        <v>151</v>
      </c>
      <c r="H123" s="4" t="s">
        <v>152</v>
      </c>
      <c r="I123" s="4"/>
      <c r="J123" s="4"/>
      <c r="K123" s="4">
        <v>201</v>
      </c>
      <c r="L123" s="4">
        <v>1</v>
      </c>
      <c r="M123" s="4">
        <v>3</v>
      </c>
      <c r="N123" s="4" t="s">
        <v>3</v>
      </c>
      <c r="O123" s="4">
        <v>2</v>
      </c>
      <c r="P123" s="4"/>
    </row>
    <row r="124" spans="1:16" ht="12.75">
      <c r="A124" s="4">
        <v>50</v>
      </c>
      <c r="B124" s="4">
        <v>0</v>
      </c>
      <c r="C124" s="4">
        <v>0</v>
      </c>
      <c r="D124" s="4">
        <v>1</v>
      </c>
      <c r="E124" s="4">
        <v>202</v>
      </c>
      <c r="F124" s="4">
        <f>ROUND(Source!P121,O124)</f>
        <v>37282.08</v>
      </c>
      <c r="G124" s="4" t="s">
        <v>153</v>
      </c>
      <c r="H124" s="4" t="s">
        <v>154</v>
      </c>
      <c r="I124" s="4"/>
      <c r="J124" s="4"/>
      <c r="K124" s="4">
        <v>202</v>
      </c>
      <c r="L124" s="4">
        <v>2</v>
      </c>
      <c r="M124" s="4">
        <v>3</v>
      </c>
      <c r="N124" s="4" t="s">
        <v>3</v>
      </c>
      <c r="O124" s="4">
        <v>2</v>
      </c>
      <c r="P124" s="4"/>
    </row>
    <row r="125" spans="1:16" ht="12.75">
      <c r="A125" s="4">
        <v>50</v>
      </c>
      <c r="B125" s="4">
        <v>0</v>
      </c>
      <c r="C125" s="4">
        <v>0</v>
      </c>
      <c r="D125" s="4">
        <v>1</v>
      </c>
      <c r="E125" s="4">
        <v>222</v>
      </c>
      <c r="F125" s="4">
        <f>ROUND(Source!AO121,O125)</f>
        <v>0</v>
      </c>
      <c r="G125" s="4" t="s">
        <v>155</v>
      </c>
      <c r="H125" s="4" t="s">
        <v>156</v>
      </c>
      <c r="I125" s="4"/>
      <c r="J125" s="4"/>
      <c r="K125" s="4">
        <v>222</v>
      </c>
      <c r="L125" s="4">
        <v>3</v>
      </c>
      <c r="M125" s="4">
        <v>3</v>
      </c>
      <c r="N125" s="4" t="s">
        <v>3</v>
      </c>
      <c r="O125" s="4">
        <v>2</v>
      </c>
      <c r="P125" s="4"/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216</v>
      </c>
      <c r="F126" s="4">
        <f>ROUND(Source!AP121,O126)</f>
        <v>0</v>
      </c>
      <c r="G126" s="4" t="s">
        <v>157</v>
      </c>
      <c r="H126" s="4" t="s">
        <v>158</v>
      </c>
      <c r="I126" s="4"/>
      <c r="J126" s="4"/>
      <c r="K126" s="4">
        <v>216</v>
      </c>
      <c r="L126" s="4">
        <v>4</v>
      </c>
      <c r="M126" s="4">
        <v>3</v>
      </c>
      <c r="N126" s="4" t="s">
        <v>3</v>
      </c>
      <c r="O126" s="4">
        <v>2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223</v>
      </c>
      <c r="F127" s="4">
        <f>ROUND(Source!AQ121,O127)</f>
        <v>0</v>
      </c>
      <c r="G127" s="4" t="s">
        <v>159</v>
      </c>
      <c r="H127" s="4" t="s">
        <v>160</v>
      </c>
      <c r="I127" s="4"/>
      <c r="J127" s="4"/>
      <c r="K127" s="4">
        <v>223</v>
      </c>
      <c r="L127" s="4">
        <v>5</v>
      </c>
      <c r="M127" s="4">
        <v>3</v>
      </c>
      <c r="N127" s="4" t="s">
        <v>3</v>
      </c>
      <c r="O127" s="4">
        <v>2</v>
      </c>
      <c r="P127" s="4"/>
    </row>
    <row r="128" spans="1:16" ht="12.75">
      <c r="A128" s="4">
        <v>50</v>
      </c>
      <c r="B128" s="4">
        <v>0</v>
      </c>
      <c r="C128" s="4">
        <v>0</v>
      </c>
      <c r="D128" s="4">
        <v>1</v>
      </c>
      <c r="E128" s="4">
        <v>203</v>
      </c>
      <c r="F128" s="4">
        <f>ROUND(Source!Q121,O128)</f>
        <v>1168.89</v>
      </c>
      <c r="G128" s="4" t="s">
        <v>161</v>
      </c>
      <c r="H128" s="4" t="s">
        <v>162</v>
      </c>
      <c r="I128" s="4"/>
      <c r="J128" s="4"/>
      <c r="K128" s="4">
        <v>203</v>
      </c>
      <c r="L128" s="4">
        <v>6</v>
      </c>
      <c r="M128" s="4">
        <v>3</v>
      </c>
      <c r="N128" s="4" t="s">
        <v>3</v>
      </c>
      <c r="O128" s="4">
        <v>2</v>
      </c>
      <c r="P128" s="4"/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204</v>
      </c>
      <c r="F129" s="4">
        <f>ROUND(Source!R121,O129)</f>
        <v>202.84</v>
      </c>
      <c r="G129" s="4" t="s">
        <v>163</v>
      </c>
      <c r="H129" s="4" t="s">
        <v>164</v>
      </c>
      <c r="I129" s="4"/>
      <c r="J129" s="4"/>
      <c r="K129" s="4">
        <v>204</v>
      </c>
      <c r="L129" s="4">
        <v>7</v>
      </c>
      <c r="M129" s="4">
        <v>3</v>
      </c>
      <c r="N129" s="4" t="s">
        <v>3</v>
      </c>
      <c r="O129" s="4">
        <v>2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205</v>
      </c>
      <c r="F130" s="4">
        <f>ROUND(Source!S121,O130)</f>
        <v>49996.4</v>
      </c>
      <c r="G130" s="4" t="s">
        <v>165</v>
      </c>
      <c r="H130" s="4" t="s">
        <v>166</v>
      </c>
      <c r="I130" s="4"/>
      <c r="J130" s="4"/>
      <c r="K130" s="4">
        <v>205</v>
      </c>
      <c r="L130" s="4">
        <v>8</v>
      </c>
      <c r="M130" s="4">
        <v>3</v>
      </c>
      <c r="N130" s="4" t="s">
        <v>3</v>
      </c>
      <c r="O130" s="4">
        <v>2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ROUND(Source!AS121,O131)</f>
        <v>151795.69</v>
      </c>
      <c r="G131" s="4" t="s">
        <v>167</v>
      </c>
      <c r="H131" s="4" t="s">
        <v>168</v>
      </c>
      <c r="I131" s="4"/>
      <c r="J131" s="4"/>
      <c r="K131" s="4">
        <v>214</v>
      </c>
      <c r="L131" s="4">
        <v>9</v>
      </c>
      <c r="M131" s="4">
        <v>3</v>
      </c>
      <c r="N131" s="4" t="s">
        <v>3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ROUND(Source!AT121,O132)</f>
        <v>0</v>
      </c>
      <c r="G132" s="4" t="s">
        <v>169</v>
      </c>
      <c r="H132" s="4" t="s">
        <v>170</v>
      </c>
      <c r="I132" s="4"/>
      <c r="J132" s="4"/>
      <c r="K132" s="4">
        <v>215</v>
      </c>
      <c r="L132" s="4">
        <v>10</v>
      </c>
      <c r="M132" s="4">
        <v>3</v>
      </c>
      <c r="N132" s="4" t="s">
        <v>3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ROUND(Source!AU121,O133)</f>
        <v>0</v>
      </c>
      <c r="G133" s="4" t="s">
        <v>171</v>
      </c>
      <c r="H133" s="4" t="s">
        <v>172</v>
      </c>
      <c r="I133" s="4"/>
      <c r="J133" s="4"/>
      <c r="K133" s="4">
        <v>217</v>
      </c>
      <c r="L133" s="4">
        <v>11</v>
      </c>
      <c r="M133" s="4">
        <v>3</v>
      </c>
      <c r="N133" s="4" t="s">
        <v>3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206</v>
      </c>
      <c r="F134" s="4">
        <f>ROUND(Source!T121,O134)</f>
        <v>0</v>
      </c>
      <c r="G134" s="4" t="s">
        <v>173</v>
      </c>
      <c r="H134" s="4" t="s">
        <v>174</v>
      </c>
      <c r="I134" s="4"/>
      <c r="J134" s="4"/>
      <c r="K134" s="4">
        <v>206</v>
      </c>
      <c r="L134" s="4">
        <v>12</v>
      </c>
      <c r="M134" s="4">
        <v>3</v>
      </c>
      <c r="N134" s="4" t="s">
        <v>3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207</v>
      </c>
      <c r="F135" s="4">
        <f>Source!U121</f>
        <v>271.08525</v>
      </c>
      <c r="G135" s="4" t="s">
        <v>175</v>
      </c>
      <c r="H135" s="4" t="s">
        <v>176</v>
      </c>
      <c r="I135" s="4"/>
      <c r="J135" s="4"/>
      <c r="K135" s="4">
        <v>207</v>
      </c>
      <c r="L135" s="4">
        <v>13</v>
      </c>
      <c r="M135" s="4">
        <v>3</v>
      </c>
      <c r="N135" s="4" t="s">
        <v>3</v>
      </c>
      <c r="O135" s="4">
        <v>-1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208</v>
      </c>
      <c r="F136" s="4">
        <f>Source!V121</f>
        <v>0</v>
      </c>
      <c r="G136" s="4" t="s">
        <v>177</v>
      </c>
      <c r="H136" s="4" t="s">
        <v>178</v>
      </c>
      <c r="I136" s="4"/>
      <c r="J136" s="4"/>
      <c r="K136" s="4">
        <v>208</v>
      </c>
      <c r="L136" s="4">
        <v>14</v>
      </c>
      <c r="M136" s="4">
        <v>3</v>
      </c>
      <c r="N136" s="4" t="s">
        <v>3</v>
      </c>
      <c r="O136" s="4">
        <v>-1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209</v>
      </c>
      <c r="F137" s="4">
        <f>ROUND(Source!W121,O137)</f>
        <v>0</v>
      </c>
      <c r="G137" s="4" t="s">
        <v>179</v>
      </c>
      <c r="H137" s="4" t="s">
        <v>180</v>
      </c>
      <c r="I137" s="4"/>
      <c r="J137" s="4"/>
      <c r="K137" s="4">
        <v>209</v>
      </c>
      <c r="L137" s="4">
        <v>15</v>
      </c>
      <c r="M137" s="4">
        <v>3</v>
      </c>
      <c r="N137" s="4" t="s">
        <v>3</v>
      </c>
      <c r="O137" s="4">
        <v>2</v>
      </c>
      <c r="P137" s="4"/>
    </row>
    <row r="138" spans="1:16" ht="12.75">
      <c r="A138" s="4">
        <v>50</v>
      </c>
      <c r="B138" s="4">
        <v>0</v>
      </c>
      <c r="C138" s="4">
        <v>0</v>
      </c>
      <c r="D138" s="4">
        <v>1</v>
      </c>
      <c r="E138" s="4">
        <v>210</v>
      </c>
      <c r="F138" s="4">
        <f>ROUND(Source!X121,O138)</f>
        <v>41007.1</v>
      </c>
      <c r="G138" s="4" t="s">
        <v>181</v>
      </c>
      <c r="H138" s="4" t="s">
        <v>182</v>
      </c>
      <c r="I138" s="4"/>
      <c r="J138" s="4"/>
      <c r="K138" s="4">
        <v>210</v>
      </c>
      <c r="L138" s="4">
        <v>16</v>
      </c>
      <c r="M138" s="4">
        <v>3</v>
      </c>
      <c r="N138" s="4" t="s">
        <v>3</v>
      </c>
      <c r="O138" s="4">
        <v>2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211</v>
      </c>
      <c r="F139" s="4">
        <f>ROUND(Source!Y121,O139)</f>
        <v>21998.42</v>
      </c>
      <c r="G139" s="4" t="s">
        <v>183</v>
      </c>
      <c r="H139" s="4" t="s">
        <v>184</v>
      </c>
      <c r="I139" s="4"/>
      <c r="J139" s="4"/>
      <c r="K139" s="4">
        <v>211</v>
      </c>
      <c r="L139" s="4">
        <v>17</v>
      </c>
      <c r="M139" s="4">
        <v>3</v>
      </c>
      <c r="N139" s="4" t="s">
        <v>3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224</v>
      </c>
      <c r="F140" s="4">
        <f>ROUND(Source!AR121,O140)</f>
        <v>151795.69</v>
      </c>
      <c r="G140" s="4" t="s">
        <v>185</v>
      </c>
      <c r="H140" s="4" t="s">
        <v>186</v>
      </c>
      <c r="I140" s="4"/>
      <c r="J140" s="4"/>
      <c r="K140" s="4">
        <v>224</v>
      </c>
      <c r="L140" s="4">
        <v>18</v>
      </c>
      <c r="M140" s="4">
        <v>3</v>
      </c>
      <c r="N140" s="4" t="s">
        <v>3</v>
      </c>
      <c r="O140" s="4">
        <v>2</v>
      </c>
      <c r="P140" s="4"/>
    </row>
    <row r="142" spans="1:118" ht="12.75">
      <c r="A142" s="2">
        <v>51</v>
      </c>
      <c r="B142" s="2">
        <f>B20</f>
        <v>1</v>
      </c>
      <c r="C142" s="2">
        <f>A20</f>
        <v>3</v>
      </c>
      <c r="D142" s="2">
        <f>ROW(A20)</f>
        <v>20</v>
      </c>
      <c r="E142" s="2"/>
      <c r="F142" s="2">
        <f>IF(F20&lt;&gt;"",F20,"")</f>
      </c>
      <c r="G142" s="2">
        <f>IF(G20&lt;&gt;"",G20,"")</f>
      </c>
      <c r="H142" s="2"/>
      <c r="I142" s="2"/>
      <c r="J142" s="2"/>
      <c r="K142" s="2"/>
      <c r="L142" s="2"/>
      <c r="M142" s="2"/>
      <c r="N142" s="2"/>
      <c r="O142" s="2">
        <f aca="true" t="shared" si="127" ref="O142:T142">ROUND(O56+O89+O121+AB142,2)</f>
        <v>266046.77</v>
      </c>
      <c r="P142" s="2">
        <f t="shared" si="127"/>
        <v>113934.04</v>
      </c>
      <c r="Q142" s="2">
        <f t="shared" si="127"/>
        <v>3218.44</v>
      </c>
      <c r="R142" s="2">
        <f t="shared" si="127"/>
        <v>1048.82</v>
      </c>
      <c r="S142" s="2">
        <f t="shared" si="127"/>
        <v>148894.29</v>
      </c>
      <c r="T142" s="2">
        <f t="shared" si="127"/>
        <v>0</v>
      </c>
      <c r="U142" s="2">
        <f>U56+U89+U121+AH142</f>
        <v>898.30608745</v>
      </c>
      <c r="V142" s="2">
        <f>V56+V89+V121+AI142</f>
        <v>0</v>
      </c>
      <c r="W142" s="2">
        <f>ROUND(W56+W89+W121+AJ142,2)</f>
        <v>0</v>
      </c>
      <c r="X142" s="2">
        <f>ROUND(X56+X89+X121+AK142,2)</f>
        <v>124076.68</v>
      </c>
      <c r="Y142" s="2">
        <f>ROUND(Y56+Y89+Y121+AL142,2)</f>
        <v>65513.49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>
        <f aca="true" t="shared" si="128" ref="AO142:AU142">ROUND(AO56+AO89+AO121+BB142,2)</f>
        <v>0</v>
      </c>
      <c r="AP142" s="2">
        <f t="shared" si="128"/>
        <v>0</v>
      </c>
      <c r="AQ142" s="2">
        <f t="shared" si="128"/>
        <v>0</v>
      </c>
      <c r="AR142" s="2">
        <f t="shared" si="128"/>
        <v>457409.45</v>
      </c>
      <c r="AS142" s="2">
        <f t="shared" si="128"/>
        <v>457409.45</v>
      </c>
      <c r="AT142" s="2">
        <f t="shared" si="128"/>
        <v>0</v>
      </c>
      <c r="AU142" s="2">
        <f t="shared" si="128"/>
        <v>0</v>
      </c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>
        <v>0</v>
      </c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201</v>
      </c>
      <c r="F144" s="4">
        <f>ROUND(Source!O142,O144)</f>
        <v>266046.77</v>
      </c>
      <c r="G144" s="4" t="s">
        <v>151</v>
      </c>
      <c r="H144" s="4" t="s">
        <v>152</v>
      </c>
      <c r="I144" s="4"/>
      <c r="J144" s="4"/>
      <c r="K144" s="4">
        <v>201</v>
      </c>
      <c r="L144" s="4">
        <v>1</v>
      </c>
      <c r="M144" s="4">
        <v>3</v>
      </c>
      <c r="N144" s="4" t="s">
        <v>3</v>
      </c>
      <c r="O144" s="4">
        <v>2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202</v>
      </c>
      <c r="F145" s="4">
        <f>ROUND(Source!P142,O145)</f>
        <v>113934.04</v>
      </c>
      <c r="G145" s="4" t="s">
        <v>153</v>
      </c>
      <c r="H145" s="4" t="s">
        <v>154</v>
      </c>
      <c r="I145" s="4"/>
      <c r="J145" s="4"/>
      <c r="K145" s="4">
        <v>202</v>
      </c>
      <c r="L145" s="4">
        <v>2</v>
      </c>
      <c r="M145" s="4">
        <v>3</v>
      </c>
      <c r="N145" s="4" t="s">
        <v>3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222</v>
      </c>
      <c r="F146" s="4">
        <f>ROUND(Source!AO142,O146)</f>
        <v>0</v>
      </c>
      <c r="G146" s="4" t="s">
        <v>155</v>
      </c>
      <c r="H146" s="4" t="s">
        <v>156</v>
      </c>
      <c r="I146" s="4"/>
      <c r="J146" s="4"/>
      <c r="K146" s="4">
        <v>222</v>
      </c>
      <c r="L146" s="4">
        <v>3</v>
      </c>
      <c r="M146" s="4">
        <v>3</v>
      </c>
      <c r="N146" s="4" t="s">
        <v>3</v>
      </c>
      <c r="O146" s="4">
        <v>2</v>
      </c>
      <c r="P146" s="4"/>
    </row>
    <row r="147" spans="1:16" ht="12.75">
      <c r="A147" s="4">
        <v>50</v>
      </c>
      <c r="B147" s="4">
        <v>0</v>
      </c>
      <c r="C147" s="4">
        <v>0</v>
      </c>
      <c r="D147" s="4">
        <v>1</v>
      </c>
      <c r="E147" s="4">
        <v>216</v>
      </c>
      <c r="F147" s="4">
        <f>ROUND(Source!AP142,O147)</f>
        <v>0</v>
      </c>
      <c r="G147" s="4" t="s">
        <v>157</v>
      </c>
      <c r="H147" s="4" t="s">
        <v>158</v>
      </c>
      <c r="I147" s="4"/>
      <c r="J147" s="4"/>
      <c r="K147" s="4">
        <v>216</v>
      </c>
      <c r="L147" s="4">
        <v>4</v>
      </c>
      <c r="M147" s="4">
        <v>3</v>
      </c>
      <c r="N147" s="4" t="s">
        <v>3</v>
      </c>
      <c r="O147" s="4">
        <v>2</v>
      </c>
      <c r="P147" s="4"/>
    </row>
    <row r="148" spans="1:16" ht="12.75">
      <c r="A148" s="4">
        <v>50</v>
      </c>
      <c r="B148" s="4">
        <v>0</v>
      </c>
      <c r="C148" s="4">
        <v>0</v>
      </c>
      <c r="D148" s="4">
        <v>1</v>
      </c>
      <c r="E148" s="4">
        <v>223</v>
      </c>
      <c r="F148" s="4">
        <f>ROUND(Source!AQ142,O148)</f>
        <v>0</v>
      </c>
      <c r="G148" s="4" t="s">
        <v>159</v>
      </c>
      <c r="H148" s="4" t="s">
        <v>160</v>
      </c>
      <c r="I148" s="4"/>
      <c r="J148" s="4"/>
      <c r="K148" s="4">
        <v>223</v>
      </c>
      <c r="L148" s="4">
        <v>5</v>
      </c>
      <c r="M148" s="4">
        <v>3</v>
      </c>
      <c r="N148" s="4" t="s">
        <v>3</v>
      </c>
      <c r="O148" s="4">
        <v>2</v>
      </c>
      <c r="P148" s="4"/>
    </row>
    <row r="149" spans="1:16" ht="12.75">
      <c r="A149" s="4">
        <v>50</v>
      </c>
      <c r="B149" s="4">
        <v>0</v>
      </c>
      <c r="C149" s="4">
        <v>0</v>
      </c>
      <c r="D149" s="4">
        <v>1</v>
      </c>
      <c r="E149" s="4">
        <v>203</v>
      </c>
      <c r="F149" s="4">
        <f>ROUND(Source!Q142,O149)</f>
        <v>3218.44</v>
      </c>
      <c r="G149" s="4" t="s">
        <v>161</v>
      </c>
      <c r="H149" s="4" t="s">
        <v>162</v>
      </c>
      <c r="I149" s="4"/>
      <c r="J149" s="4"/>
      <c r="K149" s="4">
        <v>203</v>
      </c>
      <c r="L149" s="4">
        <v>6</v>
      </c>
      <c r="M149" s="4">
        <v>3</v>
      </c>
      <c r="N149" s="4" t="s">
        <v>3</v>
      </c>
      <c r="O149" s="4">
        <v>2</v>
      </c>
      <c r="P149" s="4"/>
    </row>
    <row r="150" spans="1:16" ht="12.75">
      <c r="A150" s="4">
        <v>50</v>
      </c>
      <c r="B150" s="4">
        <v>0</v>
      </c>
      <c r="C150" s="4">
        <v>0</v>
      </c>
      <c r="D150" s="4">
        <v>1</v>
      </c>
      <c r="E150" s="4">
        <v>204</v>
      </c>
      <c r="F150" s="4">
        <f>ROUND(Source!R142,O150)</f>
        <v>1048.82</v>
      </c>
      <c r="G150" s="4" t="s">
        <v>163</v>
      </c>
      <c r="H150" s="4" t="s">
        <v>164</v>
      </c>
      <c r="I150" s="4"/>
      <c r="J150" s="4"/>
      <c r="K150" s="4">
        <v>204</v>
      </c>
      <c r="L150" s="4">
        <v>7</v>
      </c>
      <c r="M150" s="4">
        <v>3</v>
      </c>
      <c r="N150" s="4" t="s">
        <v>3</v>
      </c>
      <c r="O150" s="4">
        <v>2</v>
      </c>
      <c r="P150" s="4"/>
    </row>
    <row r="151" spans="1:16" ht="12.75">
      <c r="A151" s="4">
        <v>50</v>
      </c>
      <c r="B151" s="4">
        <v>0</v>
      </c>
      <c r="C151" s="4">
        <v>0</v>
      </c>
      <c r="D151" s="4">
        <v>1</v>
      </c>
      <c r="E151" s="4">
        <v>205</v>
      </c>
      <c r="F151" s="4">
        <f>ROUND(Source!S142,O151)</f>
        <v>148894.29</v>
      </c>
      <c r="G151" s="4" t="s">
        <v>165</v>
      </c>
      <c r="H151" s="4" t="s">
        <v>166</v>
      </c>
      <c r="I151" s="4"/>
      <c r="J151" s="4"/>
      <c r="K151" s="4">
        <v>205</v>
      </c>
      <c r="L151" s="4">
        <v>8</v>
      </c>
      <c r="M151" s="4">
        <v>3</v>
      </c>
      <c r="N151" s="4" t="s">
        <v>3</v>
      </c>
      <c r="O151" s="4">
        <v>2</v>
      </c>
      <c r="P151" s="4"/>
    </row>
    <row r="152" spans="1:16" ht="12.75">
      <c r="A152" s="4">
        <v>50</v>
      </c>
      <c r="B152" s="4">
        <v>0</v>
      </c>
      <c r="C152" s="4">
        <v>0</v>
      </c>
      <c r="D152" s="4">
        <v>1</v>
      </c>
      <c r="E152" s="4">
        <v>214</v>
      </c>
      <c r="F152" s="4">
        <f>ROUND(Source!AS142,O152)</f>
        <v>457409.45</v>
      </c>
      <c r="G152" s="4" t="s">
        <v>167</v>
      </c>
      <c r="H152" s="4" t="s">
        <v>168</v>
      </c>
      <c r="I152" s="4"/>
      <c r="J152" s="4"/>
      <c r="K152" s="4">
        <v>214</v>
      </c>
      <c r="L152" s="4">
        <v>9</v>
      </c>
      <c r="M152" s="4">
        <v>3</v>
      </c>
      <c r="N152" s="4" t="s">
        <v>3</v>
      </c>
      <c r="O152" s="4">
        <v>2</v>
      </c>
      <c r="P152" s="4"/>
    </row>
    <row r="153" spans="1:16" ht="12.75">
      <c r="A153" s="4">
        <v>50</v>
      </c>
      <c r="B153" s="4">
        <v>0</v>
      </c>
      <c r="C153" s="4">
        <v>0</v>
      </c>
      <c r="D153" s="4">
        <v>1</v>
      </c>
      <c r="E153" s="4">
        <v>215</v>
      </c>
      <c r="F153" s="4">
        <f>ROUND(Source!AT142,O153)</f>
        <v>0</v>
      </c>
      <c r="G153" s="4" t="s">
        <v>169</v>
      </c>
      <c r="H153" s="4" t="s">
        <v>170</v>
      </c>
      <c r="I153" s="4"/>
      <c r="J153" s="4"/>
      <c r="K153" s="4">
        <v>215</v>
      </c>
      <c r="L153" s="4">
        <v>10</v>
      </c>
      <c r="M153" s="4">
        <v>3</v>
      </c>
      <c r="N153" s="4" t="s">
        <v>3</v>
      </c>
      <c r="O153" s="4">
        <v>2</v>
      </c>
      <c r="P153" s="4"/>
    </row>
    <row r="154" spans="1:16" ht="12.75">
      <c r="A154" s="4">
        <v>50</v>
      </c>
      <c r="B154" s="4">
        <v>0</v>
      </c>
      <c r="C154" s="4">
        <v>0</v>
      </c>
      <c r="D154" s="4">
        <v>1</v>
      </c>
      <c r="E154" s="4">
        <v>217</v>
      </c>
      <c r="F154" s="4">
        <f>ROUND(Source!AU142,O154)</f>
        <v>0</v>
      </c>
      <c r="G154" s="4" t="s">
        <v>171</v>
      </c>
      <c r="H154" s="4" t="s">
        <v>172</v>
      </c>
      <c r="I154" s="4"/>
      <c r="J154" s="4"/>
      <c r="K154" s="4">
        <v>217</v>
      </c>
      <c r="L154" s="4">
        <v>11</v>
      </c>
      <c r="M154" s="4">
        <v>3</v>
      </c>
      <c r="N154" s="4" t="s">
        <v>3</v>
      </c>
      <c r="O154" s="4">
        <v>2</v>
      </c>
      <c r="P154" s="4"/>
    </row>
    <row r="155" spans="1:16" ht="12.75">
      <c r="A155" s="4">
        <v>50</v>
      </c>
      <c r="B155" s="4">
        <v>0</v>
      </c>
      <c r="C155" s="4">
        <v>0</v>
      </c>
      <c r="D155" s="4">
        <v>1</v>
      </c>
      <c r="E155" s="4">
        <v>206</v>
      </c>
      <c r="F155" s="4">
        <f>ROUND(Source!T142,O155)</f>
        <v>0</v>
      </c>
      <c r="G155" s="4" t="s">
        <v>173</v>
      </c>
      <c r="H155" s="4" t="s">
        <v>174</v>
      </c>
      <c r="I155" s="4"/>
      <c r="J155" s="4"/>
      <c r="K155" s="4">
        <v>206</v>
      </c>
      <c r="L155" s="4">
        <v>12</v>
      </c>
      <c r="M155" s="4">
        <v>3</v>
      </c>
      <c r="N155" s="4" t="s">
        <v>3</v>
      </c>
      <c r="O155" s="4">
        <v>2</v>
      </c>
      <c r="P155" s="4"/>
    </row>
    <row r="156" spans="1:16" ht="12.75">
      <c r="A156" s="4">
        <v>50</v>
      </c>
      <c r="B156" s="4">
        <v>0</v>
      </c>
      <c r="C156" s="4">
        <v>0</v>
      </c>
      <c r="D156" s="4">
        <v>1</v>
      </c>
      <c r="E156" s="4">
        <v>207</v>
      </c>
      <c r="F156" s="4">
        <f>Source!U142</f>
        <v>898.30608745</v>
      </c>
      <c r="G156" s="4" t="s">
        <v>175</v>
      </c>
      <c r="H156" s="4" t="s">
        <v>176</v>
      </c>
      <c r="I156" s="4"/>
      <c r="J156" s="4"/>
      <c r="K156" s="4">
        <v>207</v>
      </c>
      <c r="L156" s="4">
        <v>13</v>
      </c>
      <c r="M156" s="4">
        <v>3</v>
      </c>
      <c r="N156" s="4" t="s">
        <v>3</v>
      </c>
      <c r="O156" s="4">
        <v>-1</v>
      </c>
      <c r="P156" s="4"/>
    </row>
    <row r="157" spans="1:16" ht="12.75">
      <c r="A157" s="4">
        <v>50</v>
      </c>
      <c r="B157" s="4">
        <v>0</v>
      </c>
      <c r="C157" s="4">
        <v>0</v>
      </c>
      <c r="D157" s="4">
        <v>1</v>
      </c>
      <c r="E157" s="4">
        <v>208</v>
      </c>
      <c r="F157" s="4">
        <f>Source!V142</f>
        <v>0</v>
      </c>
      <c r="G157" s="4" t="s">
        <v>177</v>
      </c>
      <c r="H157" s="4" t="s">
        <v>178</v>
      </c>
      <c r="I157" s="4"/>
      <c r="J157" s="4"/>
      <c r="K157" s="4">
        <v>208</v>
      </c>
      <c r="L157" s="4">
        <v>14</v>
      </c>
      <c r="M157" s="4">
        <v>3</v>
      </c>
      <c r="N157" s="4" t="s">
        <v>3</v>
      </c>
      <c r="O157" s="4">
        <v>-1</v>
      </c>
      <c r="P157" s="4"/>
    </row>
    <row r="158" spans="1:16" ht="12.75">
      <c r="A158" s="4">
        <v>50</v>
      </c>
      <c r="B158" s="4">
        <v>0</v>
      </c>
      <c r="C158" s="4">
        <v>0</v>
      </c>
      <c r="D158" s="4">
        <v>1</v>
      </c>
      <c r="E158" s="4">
        <v>209</v>
      </c>
      <c r="F158" s="4">
        <f>ROUND(Source!W142,O158)</f>
        <v>0</v>
      </c>
      <c r="G158" s="4" t="s">
        <v>179</v>
      </c>
      <c r="H158" s="4" t="s">
        <v>180</v>
      </c>
      <c r="I158" s="4"/>
      <c r="J158" s="4"/>
      <c r="K158" s="4">
        <v>209</v>
      </c>
      <c r="L158" s="4">
        <v>15</v>
      </c>
      <c r="M158" s="4">
        <v>3</v>
      </c>
      <c r="N158" s="4" t="s">
        <v>3</v>
      </c>
      <c r="O158" s="4">
        <v>2</v>
      </c>
      <c r="P158" s="4"/>
    </row>
    <row r="159" spans="1:16" ht="12.75">
      <c r="A159" s="4">
        <v>50</v>
      </c>
      <c r="B159" s="4">
        <v>0</v>
      </c>
      <c r="C159" s="4">
        <v>0</v>
      </c>
      <c r="D159" s="4">
        <v>1</v>
      </c>
      <c r="E159" s="4">
        <v>210</v>
      </c>
      <c r="F159" s="4">
        <f>ROUND(Source!X142,O159)</f>
        <v>124076.68</v>
      </c>
      <c r="G159" s="4" t="s">
        <v>181</v>
      </c>
      <c r="H159" s="4" t="s">
        <v>182</v>
      </c>
      <c r="I159" s="4"/>
      <c r="J159" s="4"/>
      <c r="K159" s="4">
        <v>210</v>
      </c>
      <c r="L159" s="4">
        <v>16</v>
      </c>
      <c r="M159" s="4">
        <v>3</v>
      </c>
      <c r="N159" s="4" t="s">
        <v>3</v>
      </c>
      <c r="O159" s="4">
        <v>2</v>
      </c>
      <c r="P159" s="4"/>
    </row>
    <row r="160" spans="1:16" ht="12.75">
      <c r="A160" s="4">
        <v>50</v>
      </c>
      <c r="B160" s="4">
        <v>0</v>
      </c>
      <c r="C160" s="4">
        <v>0</v>
      </c>
      <c r="D160" s="4">
        <v>1</v>
      </c>
      <c r="E160" s="4">
        <v>211</v>
      </c>
      <c r="F160" s="4">
        <f>ROUND(Source!Y142,O160)</f>
        <v>65513.49</v>
      </c>
      <c r="G160" s="4" t="s">
        <v>183</v>
      </c>
      <c r="H160" s="4" t="s">
        <v>184</v>
      </c>
      <c r="I160" s="4"/>
      <c r="J160" s="4"/>
      <c r="K160" s="4">
        <v>211</v>
      </c>
      <c r="L160" s="4">
        <v>17</v>
      </c>
      <c r="M160" s="4">
        <v>3</v>
      </c>
      <c r="N160" s="4" t="s">
        <v>3</v>
      </c>
      <c r="O160" s="4">
        <v>2</v>
      </c>
      <c r="P160" s="4"/>
    </row>
    <row r="161" spans="1:16" ht="12.75">
      <c r="A161" s="4">
        <v>50</v>
      </c>
      <c r="B161" s="4">
        <v>0</v>
      </c>
      <c r="C161" s="4">
        <v>0</v>
      </c>
      <c r="D161" s="4">
        <v>1</v>
      </c>
      <c r="E161" s="4">
        <v>224</v>
      </c>
      <c r="F161" s="4">
        <f>ROUND(Source!AR142,O161)</f>
        <v>457409.45</v>
      </c>
      <c r="G161" s="4" t="s">
        <v>185</v>
      </c>
      <c r="H161" s="4" t="s">
        <v>186</v>
      </c>
      <c r="I161" s="4"/>
      <c r="J161" s="4"/>
      <c r="K161" s="4">
        <v>224</v>
      </c>
      <c r="L161" s="4">
        <v>18</v>
      </c>
      <c r="M161" s="4">
        <v>3</v>
      </c>
      <c r="N161" s="4" t="s">
        <v>3</v>
      </c>
      <c r="O161" s="4">
        <v>2</v>
      </c>
      <c r="P161" s="4"/>
    </row>
    <row r="162" spans="1:16" ht="12.75">
      <c r="A162" s="4">
        <v>50</v>
      </c>
      <c r="B162" s="4">
        <v>1</v>
      </c>
      <c r="C162" s="4">
        <v>0</v>
      </c>
      <c r="D162" s="4">
        <v>2</v>
      </c>
      <c r="E162" s="4">
        <v>0</v>
      </c>
      <c r="F162" s="4">
        <f>ROUND(F144+F159+F160+F150*1.69,O162)</f>
        <v>457409.45</v>
      </c>
      <c r="G162" s="4" t="s">
        <v>236</v>
      </c>
      <c r="H162" s="4" t="s">
        <v>237</v>
      </c>
      <c r="I162" s="4"/>
      <c r="J162" s="4"/>
      <c r="K162" s="4">
        <v>212</v>
      </c>
      <c r="L162" s="4">
        <v>19</v>
      </c>
      <c r="M162" s="4">
        <v>0</v>
      </c>
      <c r="N162" s="4" t="s">
        <v>3</v>
      </c>
      <c r="O162" s="4">
        <v>2</v>
      </c>
      <c r="P162" s="4"/>
    </row>
    <row r="163" spans="1:16" ht="12.75">
      <c r="A163" s="4">
        <v>50</v>
      </c>
      <c r="B163" s="4">
        <v>1</v>
      </c>
      <c r="C163" s="4">
        <v>0</v>
      </c>
      <c r="D163" s="4">
        <v>2</v>
      </c>
      <c r="E163" s="4">
        <v>0</v>
      </c>
      <c r="F163" s="4">
        <f>ROUND(F162*0.18,O163)</f>
        <v>82333.7</v>
      </c>
      <c r="G163" s="4" t="s">
        <v>238</v>
      </c>
      <c r="H163" s="4" t="s">
        <v>239</v>
      </c>
      <c r="I163" s="4"/>
      <c r="J163" s="4"/>
      <c r="K163" s="4">
        <v>212</v>
      </c>
      <c r="L163" s="4">
        <v>20</v>
      </c>
      <c r="M163" s="4">
        <v>0</v>
      </c>
      <c r="N163" s="4" t="s">
        <v>3</v>
      </c>
      <c r="O163" s="4">
        <v>2</v>
      </c>
      <c r="P163" s="4"/>
    </row>
    <row r="164" spans="1:16" ht="12.75">
      <c r="A164" s="4">
        <v>50</v>
      </c>
      <c r="B164" s="4">
        <v>1</v>
      </c>
      <c r="C164" s="4">
        <v>0</v>
      </c>
      <c r="D164" s="4">
        <v>2</v>
      </c>
      <c r="E164" s="4">
        <v>213</v>
      </c>
      <c r="F164" s="4">
        <f>ROUND(F162+F163,O164)</f>
        <v>539743.15</v>
      </c>
      <c r="G164" s="4" t="s">
        <v>240</v>
      </c>
      <c r="H164" s="4" t="s">
        <v>241</v>
      </c>
      <c r="I164" s="4"/>
      <c r="J164" s="4"/>
      <c r="K164" s="4">
        <v>212</v>
      </c>
      <c r="L164" s="4">
        <v>21</v>
      </c>
      <c r="M164" s="4">
        <v>0</v>
      </c>
      <c r="N164" s="4" t="s">
        <v>3</v>
      </c>
      <c r="O164" s="4">
        <v>2</v>
      </c>
      <c r="P164" s="4"/>
    </row>
    <row r="166" spans="1:118" ht="12.75">
      <c r="A166" s="2">
        <v>51</v>
      </c>
      <c r="B166" s="2">
        <f>B12</f>
        <v>193</v>
      </c>
      <c r="C166" s="2">
        <f>A12</f>
        <v>1</v>
      </c>
      <c r="D166" s="2">
        <f>ROW(A12)</f>
        <v>12</v>
      </c>
      <c r="E166" s="2"/>
      <c r="F166" s="2" t="str">
        <f>IF(F12&lt;&gt;"",F12,"")</f>
        <v>Новый объект</v>
      </c>
      <c r="G166" s="2" t="str">
        <f>IF(G12&lt;&gt;"",G12,"")</f>
        <v>выполнение работ по текущему ремонту помещения IX (вход 2, 1 этаж), текущему ремонту электрощитовой (помещение № 113), текущему ремонту входной группы (со стороны ул. Люблинская) здания МДЦМП Марьино</v>
      </c>
      <c r="H166" s="2"/>
      <c r="I166" s="2"/>
      <c r="J166" s="2"/>
      <c r="K166" s="2"/>
      <c r="L166" s="2"/>
      <c r="M166" s="2"/>
      <c r="N166" s="2"/>
      <c r="O166" s="2">
        <f aca="true" t="shared" si="129" ref="O166:T166">ROUND(O142,2)</f>
        <v>266046.77</v>
      </c>
      <c r="P166" s="2">
        <f t="shared" si="129"/>
        <v>113934.04</v>
      </c>
      <c r="Q166" s="2">
        <f t="shared" si="129"/>
        <v>3218.44</v>
      </c>
      <c r="R166" s="2">
        <f t="shared" si="129"/>
        <v>1048.82</v>
      </c>
      <c r="S166" s="2">
        <f t="shared" si="129"/>
        <v>148894.29</v>
      </c>
      <c r="T166" s="2">
        <f t="shared" si="129"/>
        <v>0</v>
      </c>
      <c r="U166" s="2">
        <f>U142</f>
        <v>898.30608745</v>
      </c>
      <c r="V166" s="2">
        <f>V142</f>
        <v>0</v>
      </c>
      <c r="W166" s="2">
        <f>ROUND(W142,2)</f>
        <v>0</v>
      </c>
      <c r="X166" s="2">
        <f>ROUND(X142,2)</f>
        <v>124076.68</v>
      </c>
      <c r="Y166" s="2">
        <f>ROUND(Y142,2)</f>
        <v>65513.49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>
        <f aca="true" t="shared" si="130" ref="AO166:AU166">ROUND(AO142,2)</f>
        <v>0</v>
      </c>
      <c r="AP166" s="2">
        <f t="shared" si="130"/>
        <v>0</v>
      </c>
      <c r="AQ166" s="2">
        <f t="shared" si="130"/>
        <v>0</v>
      </c>
      <c r="AR166" s="2">
        <f t="shared" si="130"/>
        <v>457409.45</v>
      </c>
      <c r="AS166" s="2">
        <f t="shared" si="130"/>
        <v>457409.45</v>
      </c>
      <c r="AT166" s="2">
        <f t="shared" si="130"/>
        <v>0</v>
      </c>
      <c r="AU166" s="2">
        <f t="shared" si="130"/>
        <v>0</v>
      </c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>
        <v>0</v>
      </c>
    </row>
    <row r="168" spans="1:16" ht="12.75">
      <c r="A168" s="4">
        <v>50</v>
      </c>
      <c r="B168" s="4">
        <v>0</v>
      </c>
      <c r="C168" s="4">
        <v>0</v>
      </c>
      <c r="D168" s="4">
        <v>1</v>
      </c>
      <c r="E168" s="4">
        <v>201</v>
      </c>
      <c r="F168" s="4">
        <f>ROUND(Source!O166,O168)</f>
        <v>266046.77</v>
      </c>
      <c r="G168" s="4" t="s">
        <v>151</v>
      </c>
      <c r="H168" s="4" t="s">
        <v>152</v>
      </c>
      <c r="I168" s="4"/>
      <c r="J168" s="4"/>
      <c r="K168" s="4">
        <v>201</v>
      </c>
      <c r="L168" s="4">
        <v>1</v>
      </c>
      <c r="M168" s="4">
        <v>3</v>
      </c>
      <c r="N168" s="4" t="s">
        <v>3</v>
      </c>
      <c r="O168" s="4">
        <v>2</v>
      </c>
      <c r="P168" s="4"/>
    </row>
    <row r="169" spans="1:16" ht="12.75">
      <c r="A169" s="4">
        <v>50</v>
      </c>
      <c r="B169" s="4">
        <v>0</v>
      </c>
      <c r="C169" s="4">
        <v>0</v>
      </c>
      <c r="D169" s="4">
        <v>1</v>
      </c>
      <c r="E169" s="4">
        <v>202</v>
      </c>
      <c r="F169" s="4">
        <f>ROUND(Source!P166,O169)</f>
        <v>113934.04</v>
      </c>
      <c r="G169" s="4" t="s">
        <v>153</v>
      </c>
      <c r="H169" s="4" t="s">
        <v>154</v>
      </c>
      <c r="I169" s="4"/>
      <c r="J169" s="4"/>
      <c r="K169" s="4">
        <v>202</v>
      </c>
      <c r="L169" s="4">
        <v>2</v>
      </c>
      <c r="M169" s="4">
        <v>3</v>
      </c>
      <c r="N169" s="4" t="s">
        <v>3</v>
      </c>
      <c r="O169" s="4">
        <v>2</v>
      </c>
      <c r="P169" s="4"/>
    </row>
    <row r="170" spans="1:16" ht="12.75">
      <c r="A170" s="4">
        <v>50</v>
      </c>
      <c r="B170" s="4">
        <v>0</v>
      </c>
      <c r="C170" s="4">
        <v>0</v>
      </c>
      <c r="D170" s="4">
        <v>1</v>
      </c>
      <c r="E170" s="4">
        <v>222</v>
      </c>
      <c r="F170" s="4">
        <f>ROUND(Source!AO166,O170)</f>
        <v>0</v>
      </c>
      <c r="G170" s="4" t="s">
        <v>155</v>
      </c>
      <c r="H170" s="4" t="s">
        <v>156</v>
      </c>
      <c r="I170" s="4"/>
      <c r="J170" s="4"/>
      <c r="K170" s="4">
        <v>222</v>
      </c>
      <c r="L170" s="4">
        <v>3</v>
      </c>
      <c r="M170" s="4">
        <v>3</v>
      </c>
      <c r="N170" s="4" t="s">
        <v>3</v>
      </c>
      <c r="O170" s="4">
        <v>2</v>
      </c>
      <c r="P170" s="4"/>
    </row>
    <row r="171" spans="1:16" ht="12.75">
      <c r="A171" s="4">
        <v>50</v>
      </c>
      <c r="B171" s="4">
        <v>0</v>
      </c>
      <c r="C171" s="4">
        <v>0</v>
      </c>
      <c r="D171" s="4">
        <v>1</v>
      </c>
      <c r="E171" s="4">
        <v>216</v>
      </c>
      <c r="F171" s="4">
        <f>ROUND(Source!AP166,O171)</f>
        <v>0</v>
      </c>
      <c r="G171" s="4" t="s">
        <v>157</v>
      </c>
      <c r="H171" s="4" t="s">
        <v>158</v>
      </c>
      <c r="I171" s="4"/>
      <c r="J171" s="4"/>
      <c r="K171" s="4">
        <v>216</v>
      </c>
      <c r="L171" s="4">
        <v>4</v>
      </c>
      <c r="M171" s="4">
        <v>3</v>
      </c>
      <c r="N171" s="4" t="s">
        <v>3</v>
      </c>
      <c r="O171" s="4">
        <v>2</v>
      </c>
      <c r="P171" s="4"/>
    </row>
    <row r="172" spans="1:16" ht="12.75">
      <c r="A172" s="4">
        <v>50</v>
      </c>
      <c r="B172" s="4">
        <v>0</v>
      </c>
      <c r="C172" s="4">
        <v>0</v>
      </c>
      <c r="D172" s="4">
        <v>1</v>
      </c>
      <c r="E172" s="4">
        <v>223</v>
      </c>
      <c r="F172" s="4">
        <f>ROUND(Source!AQ166,O172)</f>
        <v>0</v>
      </c>
      <c r="G172" s="4" t="s">
        <v>159</v>
      </c>
      <c r="H172" s="4" t="s">
        <v>160</v>
      </c>
      <c r="I172" s="4"/>
      <c r="J172" s="4"/>
      <c r="K172" s="4">
        <v>223</v>
      </c>
      <c r="L172" s="4">
        <v>5</v>
      </c>
      <c r="M172" s="4">
        <v>3</v>
      </c>
      <c r="N172" s="4" t="s">
        <v>3</v>
      </c>
      <c r="O172" s="4">
        <v>2</v>
      </c>
      <c r="P172" s="4"/>
    </row>
    <row r="173" spans="1:16" ht="12.75">
      <c r="A173" s="4">
        <v>50</v>
      </c>
      <c r="B173" s="4">
        <v>0</v>
      </c>
      <c r="C173" s="4">
        <v>0</v>
      </c>
      <c r="D173" s="4">
        <v>1</v>
      </c>
      <c r="E173" s="4">
        <v>203</v>
      </c>
      <c r="F173" s="4">
        <f>ROUND(Source!Q166,O173)</f>
        <v>3218.44</v>
      </c>
      <c r="G173" s="4" t="s">
        <v>161</v>
      </c>
      <c r="H173" s="4" t="s">
        <v>162</v>
      </c>
      <c r="I173" s="4"/>
      <c r="J173" s="4"/>
      <c r="K173" s="4">
        <v>203</v>
      </c>
      <c r="L173" s="4">
        <v>6</v>
      </c>
      <c r="M173" s="4">
        <v>3</v>
      </c>
      <c r="N173" s="4" t="s">
        <v>3</v>
      </c>
      <c r="O173" s="4">
        <v>2</v>
      </c>
      <c r="P173" s="4"/>
    </row>
    <row r="174" spans="1:16" ht="12.75">
      <c r="A174" s="4">
        <v>50</v>
      </c>
      <c r="B174" s="4">
        <v>0</v>
      </c>
      <c r="C174" s="4">
        <v>0</v>
      </c>
      <c r="D174" s="4">
        <v>1</v>
      </c>
      <c r="E174" s="4">
        <v>204</v>
      </c>
      <c r="F174" s="4">
        <f>ROUND(Source!R166,O174)</f>
        <v>1048.82</v>
      </c>
      <c r="G174" s="4" t="s">
        <v>163</v>
      </c>
      <c r="H174" s="4" t="s">
        <v>164</v>
      </c>
      <c r="I174" s="4"/>
      <c r="J174" s="4"/>
      <c r="K174" s="4">
        <v>204</v>
      </c>
      <c r="L174" s="4">
        <v>7</v>
      </c>
      <c r="M174" s="4">
        <v>3</v>
      </c>
      <c r="N174" s="4" t="s">
        <v>3</v>
      </c>
      <c r="O174" s="4">
        <v>2</v>
      </c>
      <c r="P174" s="4"/>
    </row>
    <row r="175" spans="1:16" ht="12.75">
      <c r="A175" s="4">
        <v>50</v>
      </c>
      <c r="B175" s="4">
        <v>0</v>
      </c>
      <c r="C175" s="4">
        <v>0</v>
      </c>
      <c r="D175" s="4">
        <v>1</v>
      </c>
      <c r="E175" s="4">
        <v>205</v>
      </c>
      <c r="F175" s="4">
        <f>ROUND(Source!S166,O175)</f>
        <v>148894.29</v>
      </c>
      <c r="G175" s="4" t="s">
        <v>165</v>
      </c>
      <c r="H175" s="4" t="s">
        <v>166</v>
      </c>
      <c r="I175" s="4"/>
      <c r="J175" s="4"/>
      <c r="K175" s="4">
        <v>205</v>
      </c>
      <c r="L175" s="4">
        <v>8</v>
      </c>
      <c r="M175" s="4">
        <v>3</v>
      </c>
      <c r="N175" s="4" t="s">
        <v>3</v>
      </c>
      <c r="O175" s="4">
        <v>2</v>
      </c>
      <c r="P175" s="4"/>
    </row>
    <row r="176" spans="1:16" ht="12.75">
      <c r="A176" s="4">
        <v>50</v>
      </c>
      <c r="B176" s="4">
        <v>0</v>
      </c>
      <c r="C176" s="4">
        <v>0</v>
      </c>
      <c r="D176" s="4">
        <v>1</v>
      </c>
      <c r="E176" s="4">
        <v>214</v>
      </c>
      <c r="F176" s="4">
        <f>ROUND(Source!AS166,O176)</f>
        <v>457409.45</v>
      </c>
      <c r="G176" s="4" t="s">
        <v>167</v>
      </c>
      <c r="H176" s="4" t="s">
        <v>168</v>
      </c>
      <c r="I176" s="4"/>
      <c r="J176" s="4"/>
      <c r="K176" s="4">
        <v>214</v>
      </c>
      <c r="L176" s="4">
        <v>9</v>
      </c>
      <c r="M176" s="4">
        <v>3</v>
      </c>
      <c r="N176" s="4" t="s">
        <v>3</v>
      </c>
      <c r="O176" s="4">
        <v>2</v>
      </c>
      <c r="P176" s="4"/>
    </row>
    <row r="177" spans="1:16" ht="12.75">
      <c r="A177" s="4">
        <v>50</v>
      </c>
      <c r="B177" s="4">
        <v>0</v>
      </c>
      <c r="C177" s="4">
        <v>0</v>
      </c>
      <c r="D177" s="4">
        <v>1</v>
      </c>
      <c r="E177" s="4">
        <v>215</v>
      </c>
      <c r="F177" s="4">
        <f>ROUND(Source!AT166,O177)</f>
        <v>0</v>
      </c>
      <c r="G177" s="4" t="s">
        <v>169</v>
      </c>
      <c r="H177" s="4" t="s">
        <v>170</v>
      </c>
      <c r="I177" s="4"/>
      <c r="J177" s="4"/>
      <c r="K177" s="4">
        <v>215</v>
      </c>
      <c r="L177" s="4">
        <v>10</v>
      </c>
      <c r="M177" s="4">
        <v>3</v>
      </c>
      <c r="N177" s="4" t="s">
        <v>3</v>
      </c>
      <c r="O177" s="4">
        <v>2</v>
      </c>
      <c r="P177" s="4"/>
    </row>
    <row r="178" spans="1:16" ht="12.75">
      <c r="A178" s="4">
        <v>50</v>
      </c>
      <c r="B178" s="4">
        <v>0</v>
      </c>
      <c r="C178" s="4">
        <v>0</v>
      </c>
      <c r="D178" s="4">
        <v>1</v>
      </c>
      <c r="E178" s="4">
        <v>217</v>
      </c>
      <c r="F178" s="4">
        <f>ROUND(Source!AU166,O178)</f>
        <v>0</v>
      </c>
      <c r="G178" s="4" t="s">
        <v>171</v>
      </c>
      <c r="H178" s="4" t="s">
        <v>172</v>
      </c>
      <c r="I178" s="4"/>
      <c r="J178" s="4"/>
      <c r="K178" s="4">
        <v>217</v>
      </c>
      <c r="L178" s="4">
        <v>11</v>
      </c>
      <c r="M178" s="4">
        <v>3</v>
      </c>
      <c r="N178" s="4" t="s">
        <v>3</v>
      </c>
      <c r="O178" s="4">
        <v>2</v>
      </c>
      <c r="P178" s="4"/>
    </row>
    <row r="179" spans="1:16" ht="12.75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ROUND(Source!T166,O179)</f>
        <v>0</v>
      </c>
      <c r="G179" s="4" t="s">
        <v>173</v>
      </c>
      <c r="H179" s="4" t="s">
        <v>174</v>
      </c>
      <c r="I179" s="4"/>
      <c r="J179" s="4"/>
      <c r="K179" s="4">
        <v>206</v>
      </c>
      <c r="L179" s="4">
        <v>12</v>
      </c>
      <c r="M179" s="4">
        <v>3</v>
      </c>
      <c r="N179" s="4" t="s">
        <v>3</v>
      </c>
      <c r="O179" s="4">
        <v>2</v>
      </c>
      <c r="P179" s="4"/>
    </row>
    <row r="180" spans="1:16" ht="12.75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Source!U166</f>
        <v>898.30608745</v>
      </c>
      <c r="G180" s="4" t="s">
        <v>175</v>
      </c>
      <c r="H180" s="4" t="s">
        <v>176</v>
      </c>
      <c r="I180" s="4"/>
      <c r="J180" s="4"/>
      <c r="K180" s="4">
        <v>207</v>
      </c>
      <c r="L180" s="4">
        <v>13</v>
      </c>
      <c r="M180" s="4">
        <v>3</v>
      </c>
      <c r="N180" s="4" t="s">
        <v>3</v>
      </c>
      <c r="O180" s="4">
        <v>-1</v>
      </c>
      <c r="P180" s="4"/>
    </row>
    <row r="181" spans="1:16" ht="12.75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Source!V166</f>
        <v>0</v>
      </c>
      <c r="G181" s="4" t="s">
        <v>177</v>
      </c>
      <c r="H181" s="4" t="s">
        <v>178</v>
      </c>
      <c r="I181" s="4"/>
      <c r="J181" s="4"/>
      <c r="K181" s="4">
        <v>208</v>
      </c>
      <c r="L181" s="4">
        <v>14</v>
      </c>
      <c r="M181" s="4">
        <v>3</v>
      </c>
      <c r="N181" s="4" t="s">
        <v>3</v>
      </c>
      <c r="O181" s="4">
        <v>-1</v>
      </c>
      <c r="P181" s="4"/>
    </row>
    <row r="182" spans="1:16" ht="12.75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ROUND(Source!W166,O182)</f>
        <v>0</v>
      </c>
      <c r="G182" s="4" t="s">
        <v>179</v>
      </c>
      <c r="H182" s="4" t="s">
        <v>180</v>
      </c>
      <c r="I182" s="4"/>
      <c r="J182" s="4"/>
      <c r="K182" s="4">
        <v>209</v>
      </c>
      <c r="L182" s="4">
        <v>15</v>
      </c>
      <c r="M182" s="4">
        <v>3</v>
      </c>
      <c r="N182" s="4" t="s">
        <v>3</v>
      </c>
      <c r="O182" s="4">
        <v>2</v>
      </c>
      <c r="P182" s="4"/>
    </row>
    <row r="183" spans="1:16" ht="12.75">
      <c r="A183" s="4">
        <v>50</v>
      </c>
      <c r="B183" s="4">
        <v>0</v>
      </c>
      <c r="C183" s="4">
        <v>0</v>
      </c>
      <c r="D183" s="4">
        <v>1</v>
      </c>
      <c r="E183" s="4">
        <v>210</v>
      </c>
      <c r="F183" s="4">
        <f>ROUND(Source!X166,O183)</f>
        <v>124076.68</v>
      </c>
      <c r="G183" s="4" t="s">
        <v>181</v>
      </c>
      <c r="H183" s="4" t="s">
        <v>182</v>
      </c>
      <c r="I183" s="4"/>
      <c r="J183" s="4"/>
      <c r="K183" s="4">
        <v>210</v>
      </c>
      <c r="L183" s="4">
        <v>16</v>
      </c>
      <c r="M183" s="4">
        <v>3</v>
      </c>
      <c r="N183" s="4" t="s">
        <v>3</v>
      </c>
      <c r="O183" s="4">
        <v>2</v>
      </c>
      <c r="P183" s="4"/>
    </row>
    <row r="184" spans="1:16" ht="12.75">
      <c r="A184" s="4">
        <v>50</v>
      </c>
      <c r="B184" s="4">
        <v>0</v>
      </c>
      <c r="C184" s="4">
        <v>0</v>
      </c>
      <c r="D184" s="4">
        <v>1</v>
      </c>
      <c r="E184" s="4">
        <v>211</v>
      </c>
      <c r="F184" s="4">
        <f>ROUND(Source!Y166,O184)</f>
        <v>65513.49</v>
      </c>
      <c r="G184" s="4" t="s">
        <v>183</v>
      </c>
      <c r="H184" s="4" t="s">
        <v>184</v>
      </c>
      <c r="I184" s="4"/>
      <c r="J184" s="4"/>
      <c r="K184" s="4">
        <v>211</v>
      </c>
      <c r="L184" s="4">
        <v>17</v>
      </c>
      <c r="M184" s="4">
        <v>3</v>
      </c>
      <c r="N184" s="4" t="s">
        <v>3</v>
      </c>
      <c r="O184" s="4">
        <v>2</v>
      </c>
      <c r="P184" s="4"/>
    </row>
    <row r="185" spans="1:16" ht="12.75">
      <c r="A185" s="4">
        <v>50</v>
      </c>
      <c r="B185" s="4">
        <v>0</v>
      </c>
      <c r="C185" s="4">
        <v>0</v>
      </c>
      <c r="D185" s="4">
        <v>1</v>
      </c>
      <c r="E185" s="4">
        <v>224</v>
      </c>
      <c r="F185" s="4">
        <f>ROUND(Source!AR166,O185)</f>
        <v>457409.45</v>
      </c>
      <c r="G185" s="4" t="s">
        <v>185</v>
      </c>
      <c r="H185" s="4" t="s">
        <v>186</v>
      </c>
      <c r="I185" s="4"/>
      <c r="J185" s="4"/>
      <c r="K185" s="4">
        <v>224</v>
      </c>
      <c r="L185" s="4">
        <v>18</v>
      </c>
      <c r="M185" s="4">
        <v>3</v>
      </c>
      <c r="N185" s="4" t="s">
        <v>3</v>
      </c>
      <c r="O185" s="4">
        <v>2</v>
      </c>
      <c r="P185" s="4"/>
    </row>
    <row r="186" spans="1:16" ht="12.75">
      <c r="A186" s="4">
        <v>50</v>
      </c>
      <c r="B186" s="4">
        <v>1</v>
      </c>
      <c r="C186" s="4">
        <v>0</v>
      </c>
      <c r="D186" s="4">
        <v>2</v>
      </c>
      <c r="E186" s="4">
        <v>0</v>
      </c>
      <c r="F186" s="4">
        <f>ROUND(F168+F183+F184+F174*1.69,O186)</f>
        <v>457409.45</v>
      </c>
      <c r="G186" s="4" t="s">
        <v>236</v>
      </c>
      <c r="H186" s="4" t="s">
        <v>237</v>
      </c>
      <c r="I186" s="4"/>
      <c r="J186" s="4"/>
      <c r="K186" s="4">
        <v>212</v>
      </c>
      <c r="L186" s="4">
        <v>19</v>
      </c>
      <c r="M186" s="4">
        <v>0</v>
      </c>
      <c r="N186" s="4" t="s">
        <v>3</v>
      </c>
      <c r="O186" s="4">
        <v>2</v>
      </c>
      <c r="P186" s="4"/>
    </row>
    <row r="187" spans="1:16" ht="12.75">
      <c r="A187" s="4">
        <v>50</v>
      </c>
      <c r="B187" s="4">
        <v>1</v>
      </c>
      <c r="C187" s="4">
        <v>0</v>
      </c>
      <c r="D187" s="4">
        <v>2</v>
      </c>
      <c r="E187" s="4">
        <v>0</v>
      </c>
      <c r="F187" s="4">
        <f>ROUND(F186*0.18,O187)</f>
        <v>82333.7</v>
      </c>
      <c r="G187" s="4" t="s">
        <v>238</v>
      </c>
      <c r="H187" s="4" t="s">
        <v>239</v>
      </c>
      <c r="I187" s="4"/>
      <c r="J187" s="4"/>
      <c r="K187" s="4">
        <v>212</v>
      </c>
      <c r="L187" s="4">
        <v>20</v>
      </c>
      <c r="M187" s="4">
        <v>0</v>
      </c>
      <c r="N187" s="4" t="s">
        <v>3</v>
      </c>
      <c r="O187" s="4">
        <v>2</v>
      </c>
      <c r="P187" s="4"/>
    </row>
    <row r="188" spans="1:16" ht="12.75">
      <c r="A188" s="4">
        <v>50</v>
      </c>
      <c r="B188" s="4">
        <v>1</v>
      </c>
      <c r="C188" s="4">
        <v>0</v>
      </c>
      <c r="D188" s="4">
        <v>2</v>
      </c>
      <c r="E188" s="4">
        <v>213</v>
      </c>
      <c r="F188" s="4">
        <f>ROUND(F186+F187,O188)</f>
        <v>539743.15</v>
      </c>
      <c r="G188" s="4" t="s">
        <v>240</v>
      </c>
      <c r="H188" s="4" t="s">
        <v>241</v>
      </c>
      <c r="I188" s="4"/>
      <c r="J188" s="4"/>
      <c r="K188" s="4">
        <v>212</v>
      </c>
      <c r="L188" s="4">
        <v>21</v>
      </c>
      <c r="M188" s="4">
        <v>0</v>
      </c>
      <c r="N188" s="4" t="s">
        <v>3</v>
      </c>
      <c r="O188" s="4">
        <v>2</v>
      </c>
      <c r="P188" s="4"/>
    </row>
    <row r="191" ht="12.75">
      <c r="A191">
        <v>-1</v>
      </c>
    </row>
    <row r="193" spans="1:15" ht="12.75">
      <c r="A193" s="3">
        <v>75</v>
      </c>
      <c r="B193" s="3" t="s">
        <v>242</v>
      </c>
      <c r="C193" s="3">
        <v>2013</v>
      </c>
      <c r="D193" s="3">
        <v>0</v>
      </c>
      <c r="E193" s="3">
        <v>4</v>
      </c>
      <c r="F193" s="3">
        <v>1</v>
      </c>
      <c r="G193" s="3">
        <v>0</v>
      </c>
      <c r="H193" s="3">
        <v>2</v>
      </c>
      <c r="I193" s="3">
        <v>1</v>
      </c>
      <c r="J193" s="3">
        <v>1</v>
      </c>
      <c r="K193" s="3">
        <v>99</v>
      </c>
      <c r="L193" s="3">
        <v>70</v>
      </c>
      <c r="M193" s="3">
        <v>0</v>
      </c>
      <c r="N193" s="3">
        <v>16903935</v>
      </c>
      <c r="O193" s="3">
        <v>1</v>
      </c>
    </row>
    <row r="194" spans="1:26" ht="12.75">
      <c r="A194" s="5">
        <v>1</v>
      </c>
      <c r="B194" s="5" t="s">
        <v>243</v>
      </c>
      <c r="C194" s="5" t="s">
        <v>244</v>
      </c>
      <c r="D194" s="5">
        <v>2013</v>
      </c>
      <c r="E194" s="5">
        <v>4</v>
      </c>
      <c r="F194" s="5">
        <v>1</v>
      </c>
      <c r="G194" s="5">
        <v>1</v>
      </c>
      <c r="H194" s="5">
        <v>0</v>
      </c>
      <c r="I194" s="5">
        <v>2</v>
      </c>
      <c r="J194" s="5">
        <v>1</v>
      </c>
      <c r="K194" s="5">
        <v>1</v>
      </c>
      <c r="L194" s="5">
        <v>1</v>
      </c>
      <c r="M194" s="5">
        <v>1</v>
      </c>
      <c r="N194" s="5">
        <v>1</v>
      </c>
      <c r="O194" s="5">
        <v>1</v>
      </c>
      <c r="P194" s="5">
        <v>1</v>
      </c>
      <c r="Q194" s="5">
        <v>1</v>
      </c>
      <c r="R194" s="5" t="s">
        <v>3</v>
      </c>
      <c r="S194" s="5" t="s">
        <v>3</v>
      </c>
      <c r="T194" s="5" t="s">
        <v>3</v>
      </c>
      <c r="U194" s="5" t="s">
        <v>3</v>
      </c>
      <c r="V194" s="5" t="s">
        <v>3</v>
      </c>
      <c r="W194" s="5" t="s">
        <v>3</v>
      </c>
      <c r="X194" s="5" t="s">
        <v>3</v>
      </c>
      <c r="Y194" s="5" t="s">
        <v>3</v>
      </c>
      <c r="Z194" s="5" t="s">
        <v>3</v>
      </c>
    </row>
    <row r="198" spans="1:5" ht="12.75">
      <c r="A198">
        <v>65</v>
      </c>
      <c r="C198">
        <v>1</v>
      </c>
      <c r="D198">
        <v>0</v>
      </c>
      <c r="E198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6"/>
  <sheetViews>
    <sheetView zoomScalePageLayoutView="0" workbookViewId="0" topLeftCell="A43">
      <selection activeCell="F12" sqref="F1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245</v>
      </c>
      <c r="F1">
        <v>0</v>
      </c>
      <c r="G1">
        <v>0</v>
      </c>
      <c r="H1">
        <v>0</v>
      </c>
      <c r="I1" t="s">
        <v>2</v>
      </c>
      <c r="K1">
        <v>1</v>
      </c>
      <c r="L1">
        <v>26633</v>
      </c>
    </row>
    <row r="12" spans="1:133" ht="12.75">
      <c r="A12" s="1">
        <v>1</v>
      </c>
      <c r="B12" s="1">
        <v>45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169</v>
      </c>
      <c r="S12" s="1"/>
      <c r="T12" s="1"/>
      <c r="U12" s="1" t="s">
        <v>3</v>
      </c>
      <c r="V12" s="1">
        <v>0</v>
      </c>
      <c r="W12" s="1" t="s">
        <v>6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7</v>
      </c>
      <c r="AG12" s="1" t="s">
        <v>8</v>
      </c>
      <c r="AH12" s="1" t="s">
        <v>7</v>
      </c>
      <c r="AI12" s="1" t="s">
        <v>8</v>
      </c>
      <c r="AJ12" s="1" t="s">
        <v>9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9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10</v>
      </c>
      <c r="BI12" s="1" t="s">
        <v>11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12</v>
      </c>
      <c r="BZ12" s="1" t="s">
        <v>13</v>
      </c>
      <c r="CA12" s="1" t="s">
        <v>14</v>
      </c>
      <c r="CB12" s="1" t="s">
        <v>14</v>
      </c>
      <c r="CC12" s="1" t="s">
        <v>14</v>
      </c>
      <c r="CD12" s="1" t="s">
        <v>14</v>
      </c>
      <c r="CE12" s="1" t="s">
        <v>15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16903935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1</v>
      </c>
      <c r="C16" s="6" t="s">
        <v>16</v>
      </c>
      <c r="D16" s="6" t="s">
        <v>16</v>
      </c>
      <c r="E16" s="7">
        <v>457.41</v>
      </c>
      <c r="F16" s="7">
        <v>0</v>
      </c>
      <c r="G16" s="7">
        <v>0</v>
      </c>
      <c r="H16" s="7">
        <v>0</v>
      </c>
      <c r="I16" s="7">
        <v>457.41</v>
      </c>
      <c r="J16" s="7">
        <v>148.89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266046.77</v>
      </c>
      <c r="AU16" s="7">
        <v>113934.04</v>
      </c>
      <c r="AV16" s="7">
        <v>0</v>
      </c>
      <c r="AW16" s="7">
        <v>0</v>
      </c>
      <c r="AX16" s="7">
        <v>0</v>
      </c>
      <c r="AY16" s="7">
        <v>3218.44</v>
      </c>
      <c r="AZ16" s="7">
        <v>1048.82</v>
      </c>
      <c r="BA16" s="7">
        <v>148894.29</v>
      </c>
      <c r="BB16" s="7">
        <v>457409.45</v>
      </c>
      <c r="BC16" s="7">
        <v>0</v>
      </c>
      <c r="BD16" s="7">
        <v>0</v>
      </c>
      <c r="BE16" s="7">
        <v>0</v>
      </c>
      <c r="BF16" s="7">
        <v>898.30608745</v>
      </c>
      <c r="BG16" s="7">
        <v>0</v>
      </c>
      <c r="BH16" s="7">
        <v>0</v>
      </c>
      <c r="BI16" s="7">
        <v>124076.68</v>
      </c>
      <c r="BJ16" s="7">
        <v>65513.49</v>
      </c>
      <c r="BK16" s="7">
        <v>457409.45</v>
      </c>
    </row>
    <row r="18" spans="1:19" ht="12.75">
      <c r="A18">
        <v>51</v>
      </c>
      <c r="E18" s="8">
        <v>457.41</v>
      </c>
      <c r="F18" s="8">
        <v>0</v>
      </c>
      <c r="G18" s="8">
        <v>0</v>
      </c>
      <c r="H18" s="8">
        <v>0</v>
      </c>
      <c r="I18" s="8">
        <v>457.41</v>
      </c>
      <c r="J18" s="8">
        <v>148.89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266046.77</v>
      </c>
      <c r="G20" s="4" t="s">
        <v>151</v>
      </c>
      <c r="H20" s="4" t="s">
        <v>152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113934.04</v>
      </c>
      <c r="G21" s="4" t="s">
        <v>153</v>
      </c>
      <c r="H21" s="4" t="s">
        <v>154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155</v>
      </c>
      <c r="H22" s="4" t="s">
        <v>156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216</v>
      </c>
      <c r="F23" s="4">
        <v>0</v>
      </c>
      <c r="G23" s="4" t="s">
        <v>157</v>
      </c>
      <c r="H23" s="4" t="s">
        <v>158</v>
      </c>
      <c r="I23" s="4"/>
      <c r="J23" s="4"/>
      <c r="K23" s="4">
        <v>216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223</v>
      </c>
      <c r="F24" s="4">
        <v>0</v>
      </c>
      <c r="G24" s="4" t="s">
        <v>159</v>
      </c>
      <c r="H24" s="4" t="s">
        <v>160</v>
      </c>
      <c r="I24" s="4"/>
      <c r="J24" s="4"/>
      <c r="K24" s="4">
        <v>223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203</v>
      </c>
      <c r="F25" s="4">
        <v>3218.44</v>
      </c>
      <c r="G25" s="4" t="s">
        <v>161</v>
      </c>
      <c r="H25" s="4" t="s">
        <v>162</v>
      </c>
      <c r="I25" s="4"/>
      <c r="J25" s="4"/>
      <c r="K25" s="4">
        <v>203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204</v>
      </c>
      <c r="F26" s="4">
        <v>1048.82</v>
      </c>
      <c r="G26" s="4" t="s">
        <v>163</v>
      </c>
      <c r="H26" s="4" t="s">
        <v>164</v>
      </c>
      <c r="I26" s="4"/>
      <c r="J26" s="4"/>
      <c r="K26" s="4">
        <v>204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205</v>
      </c>
      <c r="F27" s="4">
        <v>148894.29</v>
      </c>
      <c r="G27" s="4" t="s">
        <v>165</v>
      </c>
      <c r="H27" s="4" t="s">
        <v>166</v>
      </c>
      <c r="I27" s="4"/>
      <c r="J27" s="4"/>
      <c r="K27" s="4">
        <v>205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214</v>
      </c>
      <c r="F28" s="4">
        <v>457409.45</v>
      </c>
      <c r="G28" s="4" t="s">
        <v>167</v>
      </c>
      <c r="H28" s="4" t="s">
        <v>168</v>
      </c>
      <c r="I28" s="4"/>
      <c r="J28" s="4"/>
      <c r="K28" s="4">
        <v>214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215</v>
      </c>
      <c r="F29" s="4">
        <v>0</v>
      </c>
      <c r="G29" s="4" t="s">
        <v>169</v>
      </c>
      <c r="H29" s="4" t="s">
        <v>170</v>
      </c>
      <c r="I29" s="4"/>
      <c r="J29" s="4"/>
      <c r="K29" s="4">
        <v>215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217</v>
      </c>
      <c r="F30" s="4">
        <v>0</v>
      </c>
      <c r="G30" s="4" t="s">
        <v>171</v>
      </c>
      <c r="H30" s="4" t="s">
        <v>172</v>
      </c>
      <c r="I30" s="4"/>
      <c r="J30" s="4"/>
      <c r="K30" s="4">
        <v>217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206</v>
      </c>
      <c r="F31" s="4">
        <v>0</v>
      </c>
      <c r="G31" s="4" t="s">
        <v>173</v>
      </c>
      <c r="H31" s="4" t="s">
        <v>174</v>
      </c>
      <c r="I31" s="4"/>
      <c r="J31" s="4"/>
      <c r="K31" s="4">
        <v>206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207</v>
      </c>
      <c r="F32" s="4">
        <v>898.30608745</v>
      </c>
      <c r="G32" s="4" t="s">
        <v>175</v>
      </c>
      <c r="H32" s="4" t="s">
        <v>176</v>
      </c>
      <c r="I32" s="4"/>
      <c r="J32" s="4"/>
      <c r="K32" s="4">
        <v>207</v>
      </c>
      <c r="L32" s="4">
        <v>13</v>
      </c>
      <c r="M32" s="4">
        <v>3</v>
      </c>
      <c r="N32" s="4" t="s">
        <v>3</v>
      </c>
      <c r="O32" s="4">
        <v>-1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208</v>
      </c>
      <c r="F33" s="4">
        <v>0</v>
      </c>
      <c r="G33" s="4" t="s">
        <v>177</v>
      </c>
      <c r="H33" s="4" t="s">
        <v>178</v>
      </c>
      <c r="I33" s="4"/>
      <c r="J33" s="4"/>
      <c r="K33" s="4">
        <v>208</v>
      </c>
      <c r="L33" s="4">
        <v>14</v>
      </c>
      <c r="M33" s="4">
        <v>3</v>
      </c>
      <c r="N33" s="4" t="s">
        <v>3</v>
      </c>
      <c r="O33" s="4">
        <v>-1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209</v>
      </c>
      <c r="F34" s="4">
        <v>0</v>
      </c>
      <c r="G34" s="4" t="s">
        <v>179</v>
      </c>
      <c r="H34" s="4" t="s">
        <v>180</v>
      </c>
      <c r="I34" s="4"/>
      <c r="J34" s="4"/>
      <c r="K34" s="4">
        <v>209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210</v>
      </c>
      <c r="F35" s="4">
        <v>124076.68</v>
      </c>
      <c r="G35" s="4" t="s">
        <v>181</v>
      </c>
      <c r="H35" s="4" t="s">
        <v>182</v>
      </c>
      <c r="I35" s="4"/>
      <c r="J35" s="4"/>
      <c r="K35" s="4">
        <v>210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211</v>
      </c>
      <c r="F36" s="4">
        <v>65513.49</v>
      </c>
      <c r="G36" s="4" t="s">
        <v>183</v>
      </c>
      <c r="H36" s="4" t="s">
        <v>184</v>
      </c>
      <c r="I36" s="4"/>
      <c r="J36" s="4"/>
      <c r="K36" s="4">
        <v>211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224</v>
      </c>
      <c r="F37" s="4">
        <v>457409.45</v>
      </c>
      <c r="G37" s="4" t="s">
        <v>185</v>
      </c>
      <c r="H37" s="4" t="s">
        <v>186</v>
      </c>
      <c r="I37" s="4"/>
      <c r="J37" s="4"/>
      <c r="K37" s="4">
        <v>224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ht="12.75">
      <c r="A38" s="4">
        <v>50</v>
      </c>
      <c r="B38" s="4">
        <v>1</v>
      </c>
      <c r="C38" s="4">
        <v>0</v>
      </c>
      <c r="D38" s="4">
        <v>2</v>
      </c>
      <c r="E38" s="4">
        <v>0</v>
      </c>
      <c r="F38" s="4">
        <v>457409.45</v>
      </c>
      <c r="G38" s="4" t="s">
        <v>236</v>
      </c>
      <c r="H38" s="4" t="s">
        <v>237</v>
      </c>
      <c r="I38" s="4"/>
      <c r="J38" s="4"/>
      <c r="K38" s="4">
        <v>212</v>
      </c>
      <c r="L38" s="4">
        <v>19</v>
      </c>
      <c r="M38" s="4">
        <v>0</v>
      </c>
      <c r="N38" s="4" t="s">
        <v>3</v>
      </c>
      <c r="O38" s="4">
        <v>2</v>
      </c>
      <c r="P38" s="4"/>
    </row>
    <row r="39" spans="1:16" ht="12.75">
      <c r="A39" s="4">
        <v>50</v>
      </c>
      <c r="B39" s="4">
        <v>1</v>
      </c>
      <c r="C39" s="4">
        <v>0</v>
      </c>
      <c r="D39" s="4">
        <v>2</v>
      </c>
      <c r="E39" s="4">
        <v>0</v>
      </c>
      <c r="F39" s="4">
        <v>82333.7</v>
      </c>
      <c r="G39" s="4" t="s">
        <v>238</v>
      </c>
      <c r="H39" s="4" t="s">
        <v>239</v>
      </c>
      <c r="I39" s="4"/>
      <c r="J39" s="4"/>
      <c r="K39" s="4">
        <v>212</v>
      </c>
      <c r="L39" s="4">
        <v>20</v>
      </c>
      <c r="M39" s="4">
        <v>0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1</v>
      </c>
      <c r="C40" s="4">
        <v>0</v>
      </c>
      <c r="D40" s="4">
        <v>2</v>
      </c>
      <c r="E40" s="4">
        <v>213</v>
      </c>
      <c r="F40" s="4">
        <v>539743.15</v>
      </c>
      <c r="G40" s="4" t="s">
        <v>240</v>
      </c>
      <c r="H40" s="4" t="s">
        <v>241</v>
      </c>
      <c r="I40" s="4"/>
      <c r="J40" s="4"/>
      <c r="K40" s="4">
        <v>212</v>
      </c>
      <c r="L40" s="4">
        <v>21</v>
      </c>
      <c r="M40" s="4">
        <v>0</v>
      </c>
      <c r="N40" s="4" t="s">
        <v>3</v>
      </c>
      <c r="O40" s="4">
        <v>2</v>
      </c>
      <c r="P40" s="4"/>
    </row>
    <row r="42" ht="12.75">
      <c r="A42">
        <v>-1</v>
      </c>
    </row>
    <row r="45" spans="1:15" ht="12.75">
      <c r="A45" s="3">
        <v>75</v>
      </c>
      <c r="B45" s="3" t="s">
        <v>242</v>
      </c>
      <c r="C45" s="3">
        <v>2013</v>
      </c>
      <c r="D45" s="3">
        <v>0</v>
      </c>
      <c r="E45" s="3">
        <v>4</v>
      </c>
      <c r="F45" s="3">
        <v>1</v>
      </c>
      <c r="G45" s="3">
        <v>0</v>
      </c>
      <c r="H45" s="3">
        <v>2</v>
      </c>
      <c r="I45" s="3">
        <v>1</v>
      </c>
      <c r="J45" s="3">
        <v>1</v>
      </c>
      <c r="K45" s="3">
        <v>99</v>
      </c>
      <c r="L45" s="3">
        <v>70</v>
      </c>
      <c r="M45" s="3">
        <v>0</v>
      </c>
      <c r="N45" s="3">
        <v>16903935</v>
      </c>
      <c r="O45" s="3">
        <v>1</v>
      </c>
    </row>
    <row r="46" spans="1:26" ht="12.75">
      <c r="A46" s="5">
        <v>1</v>
      </c>
      <c r="B46" s="5" t="s">
        <v>243</v>
      </c>
      <c r="C46" s="5" t="s">
        <v>244</v>
      </c>
      <c r="D46" s="5">
        <v>2013</v>
      </c>
      <c r="E46" s="5">
        <v>4</v>
      </c>
      <c r="F46" s="5">
        <v>1</v>
      </c>
      <c r="G46" s="5">
        <v>1</v>
      </c>
      <c r="H46" s="5">
        <v>0</v>
      </c>
      <c r="I46" s="5">
        <v>2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 t="s">
        <v>3</v>
      </c>
      <c r="S46" s="5" t="s">
        <v>3</v>
      </c>
      <c r="T46" s="5" t="s">
        <v>3</v>
      </c>
      <c r="U46" s="5" t="s">
        <v>3</v>
      </c>
      <c r="V46" s="5" t="s">
        <v>3</v>
      </c>
      <c r="W46" s="5" t="s">
        <v>3</v>
      </c>
      <c r="X46" s="5" t="s">
        <v>3</v>
      </c>
      <c r="Y46" s="5" t="s">
        <v>3</v>
      </c>
      <c r="Z46" s="5" t="s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16903935</v>
      </c>
      <c r="C1">
        <v>16904609</v>
      </c>
      <c r="D1">
        <v>11474139</v>
      </c>
      <c r="E1">
        <v>10962768</v>
      </c>
      <c r="F1">
        <v>1</v>
      </c>
      <c r="G1">
        <v>10962768</v>
      </c>
      <c r="H1">
        <v>1</v>
      </c>
      <c r="I1" t="s">
        <v>246</v>
      </c>
      <c r="K1" t="s">
        <v>247</v>
      </c>
      <c r="L1">
        <v>1191</v>
      </c>
      <c r="N1">
        <v>1013</v>
      </c>
      <c r="O1" t="s">
        <v>248</v>
      </c>
      <c r="P1" t="s">
        <v>248</v>
      </c>
      <c r="Q1">
        <v>1</v>
      </c>
      <c r="Y1">
        <v>3.77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3.77</v>
      </c>
      <c r="AV1">
        <v>1</v>
      </c>
      <c r="AW1">
        <v>2</v>
      </c>
      <c r="AX1">
        <v>16904612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16903935</v>
      </c>
      <c r="C2">
        <v>16904609</v>
      </c>
      <c r="D2">
        <v>11500203</v>
      </c>
      <c r="E2">
        <v>10962768</v>
      </c>
      <c r="F2">
        <v>1</v>
      </c>
      <c r="G2">
        <v>10962768</v>
      </c>
      <c r="H2">
        <v>3</v>
      </c>
      <c r="I2" t="s">
        <v>249</v>
      </c>
      <c r="K2" t="s">
        <v>250</v>
      </c>
      <c r="L2">
        <v>1348</v>
      </c>
      <c r="N2">
        <v>1009</v>
      </c>
      <c r="O2" t="s">
        <v>48</v>
      </c>
      <c r="P2" t="s">
        <v>48</v>
      </c>
      <c r="Q2">
        <v>1000</v>
      </c>
      <c r="Y2">
        <v>0.11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0.11</v>
      </c>
      <c r="AV2">
        <v>0</v>
      </c>
      <c r="AW2">
        <v>2</v>
      </c>
      <c r="AX2">
        <v>16904613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ROW(Source!A29)</f>
        <v>29</v>
      </c>
      <c r="B3">
        <v>16903935</v>
      </c>
      <c r="C3">
        <v>16904614</v>
      </c>
      <c r="D3">
        <v>11474139</v>
      </c>
      <c r="E3">
        <v>10962768</v>
      </c>
      <c r="F3">
        <v>1</v>
      </c>
      <c r="G3">
        <v>10962768</v>
      </c>
      <c r="H3">
        <v>1</v>
      </c>
      <c r="I3" t="s">
        <v>246</v>
      </c>
      <c r="K3" t="s">
        <v>247</v>
      </c>
      <c r="L3">
        <v>1191</v>
      </c>
      <c r="N3">
        <v>1013</v>
      </c>
      <c r="O3" t="s">
        <v>248</v>
      </c>
      <c r="P3" t="s">
        <v>248</v>
      </c>
      <c r="Q3">
        <v>1</v>
      </c>
      <c r="Y3">
        <v>13.0985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11.39</v>
      </c>
      <c r="AU3" t="s">
        <v>32</v>
      </c>
      <c r="AV3">
        <v>1</v>
      </c>
      <c r="AW3">
        <v>2</v>
      </c>
      <c r="AX3">
        <v>16904617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ROW(Source!A29)</f>
        <v>29</v>
      </c>
      <c r="B4">
        <v>16903935</v>
      </c>
      <c r="C4">
        <v>16904614</v>
      </c>
      <c r="D4">
        <v>11500203</v>
      </c>
      <c r="E4">
        <v>10962768</v>
      </c>
      <c r="F4">
        <v>1</v>
      </c>
      <c r="G4">
        <v>10962768</v>
      </c>
      <c r="H4">
        <v>3</v>
      </c>
      <c r="I4" t="s">
        <v>249</v>
      </c>
      <c r="K4" t="s">
        <v>250</v>
      </c>
      <c r="L4">
        <v>1348</v>
      </c>
      <c r="N4">
        <v>1009</v>
      </c>
      <c r="O4" t="s">
        <v>48</v>
      </c>
      <c r="P4" t="s">
        <v>48</v>
      </c>
      <c r="Q4">
        <v>1000</v>
      </c>
      <c r="Y4">
        <v>0.47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0.47</v>
      </c>
      <c r="AV4">
        <v>0</v>
      </c>
      <c r="AW4">
        <v>2</v>
      </c>
      <c r="AX4">
        <v>16904618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ROW(Source!A30)</f>
        <v>30</v>
      </c>
      <c r="B5">
        <v>16903935</v>
      </c>
      <c r="C5">
        <v>16904619</v>
      </c>
      <c r="D5">
        <v>11474139</v>
      </c>
      <c r="E5">
        <v>10962768</v>
      </c>
      <c r="F5">
        <v>1</v>
      </c>
      <c r="G5">
        <v>10962768</v>
      </c>
      <c r="H5">
        <v>1</v>
      </c>
      <c r="I5" t="s">
        <v>246</v>
      </c>
      <c r="K5" t="s">
        <v>247</v>
      </c>
      <c r="L5">
        <v>1191</v>
      </c>
      <c r="N5">
        <v>1013</v>
      </c>
      <c r="O5" t="s">
        <v>248</v>
      </c>
      <c r="P5" t="s">
        <v>248</v>
      </c>
      <c r="Q5">
        <v>1</v>
      </c>
      <c r="Y5">
        <v>43.93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38.2</v>
      </c>
      <c r="AU5" t="s">
        <v>32</v>
      </c>
      <c r="AV5">
        <v>1</v>
      </c>
      <c r="AW5">
        <v>2</v>
      </c>
      <c r="AX5">
        <v>16904623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ROW(Source!A30)</f>
        <v>30</v>
      </c>
      <c r="B6">
        <v>16903935</v>
      </c>
      <c r="C6">
        <v>16904619</v>
      </c>
      <c r="D6">
        <v>11476092</v>
      </c>
      <c r="E6">
        <v>10962768</v>
      </c>
      <c r="F6">
        <v>1</v>
      </c>
      <c r="G6">
        <v>10962768</v>
      </c>
      <c r="H6">
        <v>2</v>
      </c>
      <c r="I6" t="s">
        <v>251</v>
      </c>
      <c r="K6" t="s">
        <v>252</v>
      </c>
      <c r="L6">
        <v>1344</v>
      </c>
      <c r="N6">
        <v>1008</v>
      </c>
      <c r="O6" t="s">
        <v>253</v>
      </c>
      <c r="P6" t="s">
        <v>253</v>
      </c>
      <c r="Q6">
        <v>1</v>
      </c>
      <c r="Y6">
        <v>80.025</v>
      </c>
      <c r="AA6">
        <v>0</v>
      </c>
      <c r="AB6">
        <v>1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64.02</v>
      </c>
      <c r="AU6" t="s">
        <v>31</v>
      </c>
      <c r="AV6">
        <v>0</v>
      </c>
      <c r="AW6">
        <v>2</v>
      </c>
      <c r="AX6">
        <v>16904624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ROW(Source!A30)</f>
        <v>30</v>
      </c>
      <c r="B7">
        <v>16903935</v>
      </c>
      <c r="C7">
        <v>16904619</v>
      </c>
      <c r="D7">
        <v>11500208</v>
      </c>
      <c r="E7">
        <v>10962768</v>
      </c>
      <c r="F7">
        <v>1</v>
      </c>
      <c r="G7">
        <v>10962768</v>
      </c>
      <c r="H7">
        <v>3</v>
      </c>
      <c r="I7" t="s">
        <v>249</v>
      </c>
      <c r="K7" t="s">
        <v>254</v>
      </c>
      <c r="L7">
        <v>1344</v>
      </c>
      <c r="N7">
        <v>1008</v>
      </c>
      <c r="O7" t="s">
        <v>253</v>
      </c>
      <c r="P7" t="s">
        <v>253</v>
      </c>
      <c r="Q7">
        <v>1</v>
      </c>
      <c r="Y7">
        <v>0.98</v>
      </c>
      <c r="AA7">
        <v>1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0.98</v>
      </c>
      <c r="AV7">
        <v>0</v>
      </c>
      <c r="AW7">
        <v>2</v>
      </c>
      <c r="AX7">
        <v>16904627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ROW(Source!A30)</f>
        <v>30</v>
      </c>
      <c r="B8">
        <v>16903935</v>
      </c>
      <c r="C8">
        <v>16904619</v>
      </c>
      <c r="D8">
        <v>15380794</v>
      </c>
      <c r="E8">
        <v>1</v>
      </c>
      <c r="F8">
        <v>1</v>
      </c>
      <c r="G8">
        <v>10962768</v>
      </c>
      <c r="H8">
        <v>3</v>
      </c>
      <c r="I8" t="s">
        <v>41</v>
      </c>
      <c r="J8" t="s">
        <v>44</v>
      </c>
      <c r="K8" t="s">
        <v>42</v>
      </c>
      <c r="L8">
        <v>1327</v>
      </c>
      <c r="N8">
        <v>1005</v>
      </c>
      <c r="O8" t="s">
        <v>43</v>
      </c>
      <c r="P8" t="s">
        <v>43</v>
      </c>
      <c r="Q8">
        <v>1</v>
      </c>
      <c r="Y8">
        <v>107</v>
      </c>
      <c r="AA8">
        <v>162.24</v>
      </c>
      <c r="AB8">
        <v>0</v>
      </c>
      <c r="AC8">
        <v>0</v>
      </c>
      <c r="AD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107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ROW(Source!A30)</f>
        <v>30</v>
      </c>
      <c r="B9">
        <v>16903935</v>
      </c>
      <c r="C9">
        <v>16904619</v>
      </c>
      <c r="D9">
        <v>15378899</v>
      </c>
      <c r="E9">
        <v>1</v>
      </c>
      <c r="F9">
        <v>1</v>
      </c>
      <c r="G9">
        <v>10962768</v>
      </c>
      <c r="H9">
        <v>3</v>
      </c>
      <c r="I9" t="s">
        <v>46</v>
      </c>
      <c r="J9" t="s">
        <v>49</v>
      </c>
      <c r="K9" t="s">
        <v>47</v>
      </c>
      <c r="L9">
        <v>1348</v>
      </c>
      <c r="N9">
        <v>1009</v>
      </c>
      <c r="O9" t="s">
        <v>48</v>
      </c>
      <c r="P9" t="s">
        <v>48</v>
      </c>
      <c r="Q9">
        <v>1000</v>
      </c>
      <c r="Y9">
        <v>0.05</v>
      </c>
      <c r="AA9">
        <v>43326.77</v>
      </c>
      <c r="AB9">
        <v>0</v>
      </c>
      <c r="AC9">
        <v>0</v>
      </c>
      <c r="AD9">
        <v>0</v>
      </c>
      <c r="AN9">
        <v>0</v>
      </c>
      <c r="AO9">
        <v>0</v>
      </c>
      <c r="AP9">
        <v>0</v>
      </c>
      <c r="AQ9">
        <v>0</v>
      </c>
      <c r="AR9">
        <v>0</v>
      </c>
      <c r="AT9">
        <v>0.05</v>
      </c>
      <c r="AV9">
        <v>0</v>
      </c>
      <c r="AW9">
        <v>1</v>
      </c>
      <c r="AX9">
        <v>-1</v>
      </c>
      <c r="AY9">
        <v>0</v>
      </c>
      <c r="AZ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ROW(Source!A33)</f>
        <v>33</v>
      </c>
      <c r="B10">
        <v>16903935</v>
      </c>
      <c r="C10">
        <v>16904632</v>
      </c>
      <c r="D10">
        <v>11474139</v>
      </c>
      <c r="E10">
        <v>10962768</v>
      </c>
      <c r="F10">
        <v>1</v>
      </c>
      <c r="G10">
        <v>10962768</v>
      </c>
      <c r="H10">
        <v>1</v>
      </c>
      <c r="I10" t="s">
        <v>246</v>
      </c>
      <c r="K10" t="s">
        <v>247</v>
      </c>
      <c r="L10">
        <v>1191</v>
      </c>
      <c r="N10">
        <v>1013</v>
      </c>
      <c r="O10" t="s">
        <v>248</v>
      </c>
      <c r="P10" t="s">
        <v>248</v>
      </c>
      <c r="Q10">
        <v>1</v>
      </c>
      <c r="Y10">
        <v>14.5475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12.65</v>
      </c>
      <c r="AU10" t="s">
        <v>32</v>
      </c>
      <c r="AV10">
        <v>1</v>
      </c>
      <c r="AW10">
        <v>2</v>
      </c>
      <c r="AX10">
        <v>16904639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ROW(Source!A33)</f>
        <v>33</v>
      </c>
      <c r="B11">
        <v>16903935</v>
      </c>
      <c r="C11">
        <v>16904632</v>
      </c>
      <c r="D11">
        <v>11476092</v>
      </c>
      <c r="E11">
        <v>10962768</v>
      </c>
      <c r="F11">
        <v>1</v>
      </c>
      <c r="G11">
        <v>10962768</v>
      </c>
      <c r="H11">
        <v>2</v>
      </c>
      <c r="I11" t="s">
        <v>251</v>
      </c>
      <c r="K11" t="s">
        <v>252</v>
      </c>
      <c r="L11">
        <v>1344</v>
      </c>
      <c r="N11">
        <v>1008</v>
      </c>
      <c r="O11" t="s">
        <v>253</v>
      </c>
      <c r="P11" t="s">
        <v>253</v>
      </c>
      <c r="Q11">
        <v>1</v>
      </c>
      <c r="Y11">
        <v>1.5625</v>
      </c>
      <c r="AA11">
        <v>0</v>
      </c>
      <c r="AB11">
        <v>1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1.25</v>
      </c>
      <c r="AU11" t="s">
        <v>31</v>
      </c>
      <c r="AV11">
        <v>0</v>
      </c>
      <c r="AW11">
        <v>2</v>
      </c>
      <c r="AX11">
        <v>16904642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ROW(Source!A33)</f>
        <v>33</v>
      </c>
      <c r="B12">
        <v>16903935</v>
      </c>
      <c r="C12">
        <v>16904632</v>
      </c>
      <c r="D12">
        <v>11551225</v>
      </c>
      <c r="E12">
        <v>1</v>
      </c>
      <c r="F12">
        <v>1</v>
      </c>
      <c r="G12">
        <v>10962768</v>
      </c>
      <c r="H12">
        <v>2</v>
      </c>
      <c r="I12" t="s">
        <v>255</v>
      </c>
      <c r="J12" t="s">
        <v>256</v>
      </c>
      <c r="K12" t="s">
        <v>257</v>
      </c>
      <c r="L12">
        <v>1368</v>
      </c>
      <c r="N12">
        <v>1011</v>
      </c>
      <c r="O12" t="s">
        <v>258</v>
      </c>
      <c r="P12" t="s">
        <v>258</v>
      </c>
      <c r="Q12">
        <v>1</v>
      </c>
      <c r="Y12">
        <v>7.65</v>
      </c>
      <c r="AA12">
        <v>0</v>
      </c>
      <c r="AB12">
        <v>0.64</v>
      </c>
      <c r="AC12">
        <v>0.04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6.12</v>
      </c>
      <c r="AU12" t="s">
        <v>31</v>
      </c>
      <c r="AV12">
        <v>0</v>
      </c>
      <c r="AW12">
        <v>2</v>
      </c>
      <c r="AX12">
        <v>16904640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ROW(Source!A33)</f>
        <v>33</v>
      </c>
      <c r="B13">
        <v>16903935</v>
      </c>
      <c r="C13">
        <v>16904632</v>
      </c>
      <c r="D13">
        <v>11551179</v>
      </c>
      <c r="E13">
        <v>1</v>
      </c>
      <c r="F13">
        <v>1</v>
      </c>
      <c r="G13">
        <v>10962768</v>
      </c>
      <c r="H13">
        <v>2</v>
      </c>
      <c r="I13" t="s">
        <v>259</v>
      </c>
      <c r="J13" t="s">
        <v>260</v>
      </c>
      <c r="K13" t="s">
        <v>261</v>
      </c>
      <c r="L13">
        <v>1368</v>
      </c>
      <c r="N13">
        <v>1011</v>
      </c>
      <c r="O13" t="s">
        <v>258</v>
      </c>
      <c r="P13" t="s">
        <v>258</v>
      </c>
      <c r="Q13">
        <v>1</v>
      </c>
      <c r="Y13">
        <v>2.875</v>
      </c>
      <c r="AA13">
        <v>0</v>
      </c>
      <c r="AB13">
        <v>2.36</v>
      </c>
      <c r="AC13">
        <v>0.1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2.3</v>
      </c>
      <c r="AU13" t="s">
        <v>31</v>
      </c>
      <c r="AV13">
        <v>0</v>
      </c>
      <c r="AW13">
        <v>2</v>
      </c>
      <c r="AX13">
        <v>16904641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ROW(Source!A33)</f>
        <v>33</v>
      </c>
      <c r="B14">
        <v>16903935</v>
      </c>
      <c r="C14">
        <v>16904632</v>
      </c>
      <c r="D14">
        <v>15378756</v>
      </c>
      <c r="E14">
        <v>1</v>
      </c>
      <c r="F14">
        <v>1</v>
      </c>
      <c r="G14">
        <v>10962768</v>
      </c>
      <c r="H14">
        <v>3</v>
      </c>
      <c r="I14" t="s">
        <v>262</v>
      </c>
      <c r="J14" t="s">
        <v>263</v>
      </c>
      <c r="K14" t="s">
        <v>264</v>
      </c>
      <c r="L14">
        <v>1354</v>
      </c>
      <c r="N14">
        <v>1010</v>
      </c>
      <c r="O14" t="s">
        <v>230</v>
      </c>
      <c r="P14" t="s">
        <v>230</v>
      </c>
      <c r="Q14">
        <v>1</v>
      </c>
      <c r="Y14">
        <v>168.34</v>
      </c>
      <c r="AA14">
        <v>0.89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168.34</v>
      </c>
      <c r="AV14">
        <v>0</v>
      </c>
      <c r="AW14">
        <v>2</v>
      </c>
      <c r="AX14">
        <v>16904643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ROW(Source!A33)</f>
        <v>33</v>
      </c>
      <c r="B15">
        <v>16903935</v>
      </c>
      <c r="C15">
        <v>16904632</v>
      </c>
      <c r="D15">
        <v>15380862</v>
      </c>
      <c r="E15">
        <v>1</v>
      </c>
      <c r="F15">
        <v>1</v>
      </c>
      <c r="G15">
        <v>10962768</v>
      </c>
      <c r="H15">
        <v>3</v>
      </c>
      <c r="I15" t="s">
        <v>265</v>
      </c>
      <c r="J15" t="s">
        <v>266</v>
      </c>
      <c r="K15" t="s">
        <v>267</v>
      </c>
      <c r="L15">
        <v>1348</v>
      </c>
      <c r="N15">
        <v>1009</v>
      </c>
      <c r="O15" t="s">
        <v>48</v>
      </c>
      <c r="P15" t="s">
        <v>48</v>
      </c>
      <c r="Q15">
        <v>1000</v>
      </c>
      <c r="Y15">
        <v>0.00042</v>
      </c>
      <c r="AA15">
        <v>58472.21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0.00042</v>
      </c>
      <c r="AV15">
        <v>0</v>
      </c>
      <c r="AW15">
        <v>2</v>
      </c>
      <c r="AX15">
        <v>16904644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ROW(Source!A33)</f>
        <v>33</v>
      </c>
      <c r="B16">
        <v>16903935</v>
      </c>
      <c r="C16">
        <v>16904632</v>
      </c>
      <c r="D16">
        <v>15378805</v>
      </c>
      <c r="E16">
        <v>1</v>
      </c>
      <c r="F16">
        <v>1</v>
      </c>
      <c r="G16">
        <v>10962768</v>
      </c>
      <c r="H16">
        <v>3</v>
      </c>
      <c r="I16" t="s">
        <v>55</v>
      </c>
      <c r="J16" t="s">
        <v>58</v>
      </c>
      <c r="K16" t="s">
        <v>56</v>
      </c>
      <c r="L16">
        <v>1301</v>
      </c>
      <c r="N16">
        <v>1003</v>
      </c>
      <c r="O16" t="s">
        <v>57</v>
      </c>
      <c r="P16" t="s">
        <v>57</v>
      </c>
      <c r="Q16">
        <v>1</v>
      </c>
      <c r="Y16">
        <v>105</v>
      </c>
      <c r="AA16">
        <v>22.18</v>
      </c>
      <c r="AB16">
        <v>0</v>
      </c>
      <c r="AC16">
        <v>0</v>
      </c>
      <c r="AD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105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ROW(Source!A35)</f>
        <v>35</v>
      </c>
      <c r="B17">
        <v>16903935</v>
      </c>
      <c r="C17">
        <v>16904648</v>
      </c>
      <c r="D17">
        <v>11474139</v>
      </c>
      <c r="E17">
        <v>10962768</v>
      </c>
      <c r="F17">
        <v>1</v>
      </c>
      <c r="G17">
        <v>10962768</v>
      </c>
      <c r="H17">
        <v>1</v>
      </c>
      <c r="I17" t="s">
        <v>246</v>
      </c>
      <c r="K17" t="s">
        <v>247</v>
      </c>
      <c r="L17">
        <v>1191</v>
      </c>
      <c r="N17">
        <v>1013</v>
      </c>
      <c r="O17" t="s">
        <v>248</v>
      </c>
      <c r="P17" t="s">
        <v>248</v>
      </c>
      <c r="Q17">
        <v>1</v>
      </c>
      <c r="Y17">
        <v>58.6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58.6</v>
      </c>
      <c r="AV17">
        <v>1</v>
      </c>
      <c r="AW17">
        <v>2</v>
      </c>
      <c r="AX17">
        <v>16904651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ROW(Source!A35)</f>
        <v>35</v>
      </c>
      <c r="B18">
        <v>16903935</v>
      </c>
      <c r="C18">
        <v>16904648</v>
      </c>
      <c r="D18">
        <v>11476092</v>
      </c>
      <c r="E18">
        <v>10962768</v>
      </c>
      <c r="F18">
        <v>1</v>
      </c>
      <c r="G18">
        <v>10962768</v>
      </c>
      <c r="H18">
        <v>2</v>
      </c>
      <c r="I18" t="s">
        <v>251</v>
      </c>
      <c r="K18" t="s">
        <v>252</v>
      </c>
      <c r="L18">
        <v>1344</v>
      </c>
      <c r="N18">
        <v>1008</v>
      </c>
      <c r="O18" t="s">
        <v>253</v>
      </c>
      <c r="P18" t="s">
        <v>253</v>
      </c>
      <c r="Q18">
        <v>1</v>
      </c>
      <c r="Y18">
        <v>2.5</v>
      </c>
      <c r="AA18">
        <v>0</v>
      </c>
      <c r="AB18">
        <v>1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2.5</v>
      </c>
      <c r="AV18">
        <v>0</v>
      </c>
      <c r="AW18">
        <v>2</v>
      </c>
      <c r="AX18">
        <v>16904652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ROW(Source!A36)</f>
        <v>36</v>
      </c>
      <c r="B19">
        <v>16903935</v>
      </c>
      <c r="C19">
        <v>16904653</v>
      </c>
      <c r="D19">
        <v>11474139</v>
      </c>
      <c r="E19">
        <v>10962768</v>
      </c>
      <c r="F19">
        <v>1</v>
      </c>
      <c r="G19">
        <v>10962768</v>
      </c>
      <c r="H19">
        <v>1</v>
      </c>
      <c r="I19" t="s">
        <v>246</v>
      </c>
      <c r="K19" t="s">
        <v>247</v>
      </c>
      <c r="L19">
        <v>1191</v>
      </c>
      <c r="N19">
        <v>1013</v>
      </c>
      <c r="O19" t="s">
        <v>248</v>
      </c>
      <c r="P19" t="s">
        <v>248</v>
      </c>
      <c r="Q19">
        <v>1</v>
      </c>
      <c r="Y19">
        <v>446.2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388</v>
      </c>
      <c r="AU19" t="s">
        <v>32</v>
      </c>
      <c r="AV19">
        <v>1</v>
      </c>
      <c r="AW19">
        <v>2</v>
      </c>
      <c r="AX19">
        <v>16904662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ROW(Source!A36)</f>
        <v>36</v>
      </c>
      <c r="B20">
        <v>16903935</v>
      </c>
      <c r="C20">
        <v>16904653</v>
      </c>
      <c r="D20">
        <v>11476092</v>
      </c>
      <c r="E20">
        <v>10962768</v>
      </c>
      <c r="F20">
        <v>1</v>
      </c>
      <c r="G20">
        <v>10962768</v>
      </c>
      <c r="H20">
        <v>2</v>
      </c>
      <c r="I20" t="s">
        <v>251</v>
      </c>
      <c r="K20" t="s">
        <v>252</v>
      </c>
      <c r="L20">
        <v>1344</v>
      </c>
      <c r="N20">
        <v>1008</v>
      </c>
      <c r="O20" t="s">
        <v>253</v>
      </c>
      <c r="P20" t="s">
        <v>253</v>
      </c>
      <c r="Q20">
        <v>1</v>
      </c>
      <c r="Y20">
        <v>92.75</v>
      </c>
      <c r="AA20">
        <v>0</v>
      </c>
      <c r="AB20">
        <v>1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74.2</v>
      </c>
      <c r="AU20" t="s">
        <v>31</v>
      </c>
      <c r="AV20">
        <v>0</v>
      </c>
      <c r="AW20">
        <v>2</v>
      </c>
      <c r="AX20">
        <v>16904663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ROW(Source!A36)</f>
        <v>36</v>
      </c>
      <c r="B21">
        <v>16903935</v>
      </c>
      <c r="C21">
        <v>16904653</v>
      </c>
      <c r="D21">
        <v>15379465</v>
      </c>
      <c r="E21">
        <v>1</v>
      </c>
      <c r="F21">
        <v>1</v>
      </c>
      <c r="G21">
        <v>10962768</v>
      </c>
      <c r="H21">
        <v>3</v>
      </c>
      <c r="I21" t="s">
        <v>268</v>
      </c>
      <c r="J21" t="s">
        <v>269</v>
      </c>
      <c r="K21" t="s">
        <v>270</v>
      </c>
      <c r="L21">
        <v>1348</v>
      </c>
      <c r="N21">
        <v>1009</v>
      </c>
      <c r="O21" t="s">
        <v>48</v>
      </c>
      <c r="P21" t="s">
        <v>48</v>
      </c>
      <c r="Q21">
        <v>1000</v>
      </c>
      <c r="Y21">
        <v>0.01005</v>
      </c>
      <c r="AA21">
        <v>23120.53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0.01005</v>
      </c>
      <c r="AV21">
        <v>0</v>
      </c>
      <c r="AW21">
        <v>2</v>
      </c>
      <c r="AX21">
        <v>16904664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ROW(Source!A36)</f>
        <v>36</v>
      </c>
      <c r="B22">
        <v>16903935</v>
      </c>
      <c r="C22">
        <v>16904653</v>
      </c>
      <c r="D22">
        <v>15379547</v>
      </c>
      <c r="E22">
        <v>1</v>
      </c>
      <c r="F22">
        <v>1</v>
      </c>
      <c r="G22">
        <v>10962768</v>
      </c>
      <c r="H22">
        <v>3</v>
      </c>
      <c r="I22" t="s">
        <v>271</v>
      </c>
      <c r="J22" t="s">
        <v>272</v>
      </c>
      <c r="K22" t="s">
        <v>273</v>
      </c>
      <c r="L22">
        <v>1348</v>
      </c>
      <c r="N22">
        <v>1009</v>
      </c>
      <c r="O22" t="s">
        <v>48</v>
      </c>
      <c r="P22" t="s">
        <v>48</v>
      </c>
      <c r="Q22">
        <v>1000</v>
      </c>
      <c r="Y22">
        <v>0.00548</v>
      </c>
      <c r="AA22">
        <v>7254.88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0.00548</v>
      </c>
      <c r="AV22">
        <v>0</v>
      </c>
      <c r="AW22">
        <v>2</v>
      </c>
      <c r="AX22">
        <v>16904665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ROW(Source!A36)</f>
        <v>36</v>
      </c>
      <c r="B23">
        <v>16903935</v>
      </c>
      <c r="C23">
        <v>16904653</v>
      </c>
      <c r="D23">
        <v>11488169</v>
      </c>
      <c r="E23">
        <v>10962768</v>
      </c>
      <c r="F23">
        <v>1</v>
      </c>
      <c r="G23">
        <v>10962768</v>
      </c>
      <c r="H23">
        <v>3</v>
      </c>
      <c r="I23" t="s">
        <v>274</v>
      </c>
      <c r="K23" t="s">
        <v>275</v>
      </c>
      <c r="L23">
        <v>1348</v>
      </c>
      <c r="N23">
        <v>1009</v>
      </c>
      <c r="O23" t="s">
        <v>48</v>
      </c>
      <c r="P23" t="s">
        <v>48</v>
      </c>
      <c r="Q23">
        <v>1000</v>
      </c>
      <c r="Y23">
        <v>0.0112</v>
      </c>
      <c r="AA23">
        <v>63880.0011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0.0112</v>
      </c>
      <c r="AV23">
        <v>0</v>
      </c>
      <c r="AW23">
        <v>2</v>
      </c>
      <c r="AX23">
        <v>16904669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ROW(Source!A36)</f>
        <v>36</v>
      </c>
      <c r="B24">
        <v>16903935</v>
      </c>
      <c r="C24">
        <v>16904653</v>
      </c>
      <c r="D24">
        <v>15378699</v>
      </c>
      <c r="E24">
        <v>1</v>
      </c>
      <c r="F24">
        <v>1</v>
      </c>
      <c r="G24">
        <v>10962768</v>
      </c>
      <c r="H24">
        <v>3</v>
      </c>
      <c r="I24" t="s">
        <v>276</v>
      </c>
      <c r="J24" t="s">
        <v>277</v>
      </c>
      <c r="K24" t="s">
        <v>278</v>
      </c>
      <c r="L24">
        <v>1348</v>
      </c>
      <c r="N24">
        <v>1009</v>
      </c>
      <c r="O24" t="s">
        <v>48</v>
      </c>
      <c r="P24" t="s">
        <v>48</v>
      </c>
      <c r="Q24">
        <v>1000</v>
      </c>
      <c r="Y24">
        <v>0.01</v>
      </c>
      <c r="AA24">
        <v>39052.85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0.01</v>
      </c>
      <c r="AV24">
        <v>0</v>
      </c>
      <c r="AW24">
        <v>2</v>
      </c>
      <c r="AX24">
        <v>16904666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ROW(Source!A36)</f>
        <v>36</v>
      </c>
      <c r="B25">
        <v>16903935</v>
      </c>
      <c r="C25">
        <v>16904653</v>
      </c>
      <c r="D25">
        <v>15378755</v>
      </c>
      <c r="E25">
        <v>1</v>
      </c>
      <c r="F25">
        <v>1</v>
      </c>
      <c r="G25">
        <v>10962768</v>
      </c>
      <c r="H25">
        <v>3</v>
      </c>
      <c r="I25" t="s">
        <v>279</v>
      </c>
      <c r="J25" t="s">
        <v>280</v>
      </c>
      <c r="K25" t="s">
        <v>281</v>
      </c>
      <c r="L25">
        <v>1354</v>
      </c>
      <c r="N25">
        <v>1010</v>
      </c>
      <c r="O25" t="s">
        <v>230</v>
      </c>
      <c r="P25" t="s">
        <v>230</v>
      </c>
      <c r="Q25">
        <v>1</v>
      </c>
      <c r="Y25">
        <v>260</v>
      </c>
      <c r="AA25">
        <v>3.86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260</v>
      </c>
      <c r="AV25">
        <v>0</v>
      </c>
      <c r="AW25">
        <v>2</v>
      </c>
      <c r="AX25">
        <v>16904667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ROW(Source!A36)</f>
        <v>36</v>
      </c>
      <c r="B26">
        <v>16903935</v>
      </c>
      <c r="C26">
        <v>16904653</v>
      </c>
      <c r="D26">
        <v>11480813</v>
      </c>
      <c r="E26">
        <v>10962768</v>
      </c>
      <c r="F26">
        <v>1</v>
      </c>
      <c r="G26">
        <v>10962768</v>
      </c>
      <c r="H26">
        <v>3</v>
      </c>
      <c r="I26" t="s">
        <v>282</v>
      </c>
      <c r="K26" t="s">
        <v>283</v>
      </c>
      <c r="L26">
        <v>1346</v>
      </c>
      <c r="N26">
        <v>1009</v>
      </c>
      <c r="O26" t="s">
        <v>106</v>
      </c>
      <c r="P26" t="s">
        <v>106</v>
      </c>
      <c r="Q26">
        <v>1</v>
      </c>
      <c r="Y26">
        <v>20.4</v>
      </c>
      <c r="AA26">
        <v>11.3736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20.4</v>
      </c>
      <c r="AV26">
        <v>0</v>
      </c>
      <c r="AW26">
        <v>2</v>
      </c>
      <c r="AX26">
        <v>16904668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ROW(Source!A36)</f>
        <v>36</v>
      </c>
      <c r="B27">
        <v>16903935</v>
      </c>
      <c r="C27">
        <v>16904653</v>
      </c>
      <c r="D27">
        <v>15379068</v>
      </c>
      <c r="E27">
        <v>1</v>
      </c>
      <c r="F27">
        <v>1</v>
      </c>
      <c r="G27">
        <v>10962768</v>
      </c>
      <c r="H27">
        <v>3</v>
      </c>
      <c r="I27" t="s">
        <v>84</v>
      </c>
      <c r="J27" t="s">
        <v>86</v>
      </c>
      <c r="K27" t="s">
        <v>85</v>
      </c>
      <c r="L27">
        <v>1327</v>
      </c>
      <c r="N27">
        <v>1005</v>
      </c>
      <c r="O27" t="s">
        <v>43</v>
      </c>
      <c r="P27" t="s">
        <v>43</v>
      </c>
      <c r="Q27">
        <v>1</v>
      </c>
      <c r="Y27">
        <v>229</v>
      </c>
      <c r="AA27">
        <v>34.68</v>
      </c>
      <c r="AB27">
        <v>0</v>
      </c>
      <c r="AC27">
        <v>0</v>
      </c>
      <c r="AD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229</v>
      </c>
      <c r="AV27">
        <v>0</v>
      </c>
      <c r="AW27">
        <v>1</v>
      </c>
      <c r="AX27">
        <v>-1</v>
      </c>
      <c r="AY27">
        <v>0</v>
      </c>
      <c r="AZ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ROW(Source!A36)</f>
        <v>36</v>
      </c>
      <c r="B28">
        <v>16903935</v>
      </c>
      <c r="C28">
        <v>16904653</v>
      </c>
      <c r="D28">
        <v>15379359</v>
      </c>
      <c r="E28">
        <v>1</v>
      </c>
      <c r="F28">
        <v>1</v>
      </c>
      <c r="G28">
        <v>10962768</v>
      </c>
      <c r="H28">
        <v>3</v>
      </c>
      <c r="I28" t="s">
        <v>88</v>
      </c>
      <c r="J28" t="s">
        <v>91</v>
      </c>
      <c r="K28" t="s">
        <v>89</v>
      </c>
      <c r="L28">
        <v>1339</v>
      </c>
      <c r="N28">
        <v>1007</v>
      </c>
      <c r="O28" t="s">
        <v>90</v>
      </c>
      <c r="P28" t="s">
        <v>90</v>
      </c>
      <c r="Q28">
        <v>1</v>
      </c>
      <c r="Y28">
        <v>5.15</v>
      </c>
      <c r="AA28">
        <v>901.23</v>
      </c>
      <c r="AB28">
        <v>0</v>
      </c>
      <c r="AC28">
        <v>0</v>
      </c>
      <c r="AD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5.15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ROW(Source!A36)</f>
        <v>36</v>
      </c>
      <c r="B29">
        <v>16903935</v>
      </c>
      <c r="C29">
        <v>16904653</v>
      </c>
      <c r="D29">
        <v>11558574</v>
      </c>
      <c r="E29">
        <v>1</v>
      </c>
      <c r="F29">
        <v>1</v>
      </c>
      <c r="G29">
        <v>10962768</v>
      </c>
      <c r="H29">
        <v>3</v>
      </c>
      <c r="I29" t="s">
        <v>72</v>
      </c>
      <c r="J29" t="s">
        <v>74</v>
      </c>
      <c r="K29" t="s">
        <v>73</v>
      </c>
      <c r="L29">
        <v>1348</v>
      </c>
      <c r="N29">
        <v>1009</v>
      </c>
      <c r="O29" t="s">
        <v>48</v>
      </c>
      <c r="P29" t="s">
        <v>48</v>
      </c>
      <c r="Q29">
        <v>1000</v>
      </c>
      <c r="Y29">
        <v>0.079</v>
      </c>
      <c r="AA29">
        <v>27885.31</v>
      </c>
      <c r="AB29">
        <v>0</v>
      </c>
      <c r="AC29">
        <v>0</v>
      </c>
      <c r="AD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0.079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ROW(Source!A36)</f>
        <v>36</v>
      </c>
      <c r="B30">
        <v>16903935</v>
      </c>
      <c r="C30">
        <v>16904653</v>
      </c>
      <c r="D30">
        <v>11558580</v>
      </c>
      <c r="E30">
        <v>1</v>
      </c>
      <c r="F30">
        <v>1</v>
      </c>
      <c r="G30">
        <v>10962768</v>
      </c>
      <c r="H30">
        <v>3</v>
      </c>
      <c r="I30" t="s">
        <v>80</v>
      </c>
      <c r="J30" t="s">
        <v>82</v>
      </c>
      <c r="K30" t="s">
        <v>81</v>
      </c>
      <c r="L30">
        <v>1348</v>
      </c>
      <c r="N30">
        <v>1009</v>
      </c>
      <c r="O30" t="s">
        <v>48</v>
      </c>
      <c r="P30" t="s">
        <v>48</v>
      </c>
      <c r="Q30">
        <v>1000</v>
      </c>
      <c r="Y30">
        <v>0.019</v>
      </c>
      <c r="AA30">
        <v>60883.49</v>
      </c>
      <c r="AB30">
        <v>0</v>
      </c>
      <c r="AC30">
        <v>0</v>
      </c>
      <c r="AD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0.019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ROW(Source!A36)</f>
        <v>36</v>
      </c>
      <c r="B31">
        <v>16903935</v>
      </c>
      <c r="C31">
        <v>16904653</v>
      </c>
      <c r="D31">
        <v>11558564</v>
      </c>
      <c r="E31">
        <v>1</v>
      </c>
      <c r="F31">
        <v>1</v>
      </c>
      <c r="G31">
        <v>10962768</v>
      </c>
      <c r="H31">
        <v>3</v>
      </c>
      <c r="I31" t="s">
        <v>76</v>
      </c>
      <c r="J31" t="s">
        <v>78</v>
      </c>
      <c r="K31" t="s">
        <v>77</v>
      </c>
      <c r="L31">
        <v>1348</v>
      </c>
      <c r="N31">
        <v>1009</v>
      </c>
      <c r="O31" t="s">
        <v>48</v>
      </c>
      <c r="P31" t="s">
        <v>48</v>
      </c>
      <c r="Q31">
        <v>1000</v>
      </c>
      <c r="Y31">
        <v>0.241</v>
      </c>
      <c r="AA31">
        <v>27292.65</v>
      </c>
      <c r="AB31">
        <v>0</v>
      </c>
      <c r="AC31">
        <v>0</v>
      </c>
      <c r="AD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0.241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ROW(Source!A42)</f>
        <v>42</v>
      </c>
      <c r="B32">
        <v>16903935</v>
      </c>
      <c r="C32">
        <v>16904685</v>
      </c>
      <c r="D32">
        <v>11474139</v>
      </c>
      <c r="E32">
        <v>10962768</v>
      </c>
      <c r="F32">
        <v>1</v>
      </c>
      <c r="G32">
        <v>10962768</v>
      </c>
      <c r="H32">
        <v>1</v>
      </c>
      <c r="I32" t="s">
        <v>246</v>
      </c>
      <c r="K32" t="s">
        <v>247</v>
      </c>
      <c r="L32">
        <v>1191</v>
      </c>
      <c r="N32">
        <v>1013</v>
      </c>
      <c r="O32" t="s">
        <v>248</v>
      </c>
      <c r="P32" t="s">
        <v>248</v>
      </c>
      <c r="Q32">
        <v>1</v>
      </c>
      <c r="Y32">
        <v>75.9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66</v>
      </c>
      <c r="AU32" t="s">
        <v>32</v>
      </c>
      <c r="AV32">
        <v>1</v>
      </c>
      <c r="AW32">
        <v>2</v>
      </c>
      <c r="AX32">
        <v>16904689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ROW(Source!A42)</f>
        <v>42</v>
      </c>
      <c r="B33">
        <v>16903935</v>
      </c>
      <c r="C33">
        <v>16904685</v>
      </c>
      <c r="D33">
        <v>11476092</v>
      </c>
      <c r="E33">
        <v>10962768</v>
      </c>
      <c r="F33">
        <v>1</v>
      </c>
      <c r="G33">
        <v>10962768</v>
      </c>
      <c r="H33">
        <v>2</v>
      </c>
      <c r="I33" t="s">
        <v>251</v>
      </c>
      <c r="K33" t="s">
        <v>252</v>
      </c>
      <c r="L33">
        <v>1344</v>
      </c>
      <c r="N33">
        <v>1008</v>
      </c>
      <c r="O33" t="s">
        <v>253</v>
      </c>
      <c r="P33" t="s">
        <v>253</v>
      </c>
      <c r="Q33">
        <v>1</v>
      </c>
      <c r="Y33">
        <v>10.4</v>
      </c>
      <c r="AA33">
        <v>0</v>
      </c>
      <c r="AB33">
        <v>1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8.32</v>
      </c>
      <c r="AU33" t="s">
        <v>31</v>
      </c>
      <c r="AV33">
        <v>0</v>
      </c>
      <c r="AW33">
        <v>2</v>
      </c>
      <c r="AX33">
        <v>16904690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ROW(Source!A42)</f>
        <v>42</v>
      </c>
      <c r="B34">
        <v>16903935</v>
      </c>
      <c r="C34">
        <v>16904685</v>
      </c>
      <c r="D34">
        <v>11488169</v>
      </c>
      <c r="E34">
        <v>10962768</v>
      </c>
      <c r="F34">
        <v>1</v>
      </c>
      <c r="G34">
        <v>10962768</v>
      </c>
      <c r="H34">
        <v>3</v>
      </c>
      <c r="I34" t="s">
        <v>274</v>
      </c>
      <c r="K34" t="s">
        <v>275</v>
      </c>
      <c r="L34">
        <v>1348</v>
      </c>
      <c r="N34">
        <v>1009</v>
      </c>
      <c r="O34" t="s">
        <v>48</v>
      </c>
      <c r="P34" t="s">
        <v>48</v>
      </c>
      <c r="Q34">
        <v>1000</v>
      </c>
      <c r="Y34">
        <v>0.0045</v>
      </c>
      <c r="AA34">
        <v>63880.0011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0.0045</v>
      </c>
      <c r="AV34">
        <v>0</v>
      </c>
      <c r="AW34">
        <v>2</v>
      </c>
      <c r="AX34">
        <v>16904691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ROW(Source!A42)</f>
        <v>42</v>
      </c>
      <c r="B35">
        <v>16903935</v>
      </c>
      <c r="C35">
        <v>16904685</v>
      </c>
      <c r="D35">
        <v>15379068</v>
      </c>
      <c r="E35">
        <v>1</v>
      </c>
      <c r="F35">
        <v>1</v>
      </c>
      <c r="G35">
        <v>10962768</v>
      </c>
      <c r="H35">
        <v>3</v>
      </c>
      <c r="I35" t="s">
        <v>84</v>
      </c>
      <c r="J35" t="s">
        <v>86</v>
      </c>
      <c r="K35" t="s">
        <v>85</v>
      </c>
      <c r="L35">
        <v>1327</v>
      </c>
      <c r="N35">
        <v>1005</v>
      </c>
      <c r="O35" t="s">
        <v>43</v>
      </c>
      <c r="P35" t="s">
        <v>43</v>
      </c>
      <c r="Q35">
        <v>1</v>
      </c>
      <c r="Y35">
        <v>121.3</v>
      </c>
      <c r="AA35">
        <v>34.68</v>
      </c>
      <c r="AB35">
        <v>0</v>
      </c>
      <c r="AC35">
        <v>0</v>
      </c>
      <c r="AD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T35">
        <v>121.3</v>
      </c>
      <c r="AV35">
        <v>0</v>
      </c>
      <c r="AW35">
        <v>1</v>
      </c>
      <c r="AX35">
        <v>-1</v>
      </c>
      <c r="AY35">
        <v>0</v>
      </c>
      <c r="AZ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ROW(Source!A44)</f>
        <v>44</v>
      </c>
      <c r="B36">
        <v>16903935</v>
      </c>
      <c r="C36">
        <v>16904695</v>
      </c>
      <c r="D36">
        <v>11474139</v>
      </c>
      <c r="E36">
        <v>10962768</v>
      </c>
      <c r="F36">
        <v>1</v>
      </c>
      <c r="G36">
        <v>10962768</v>
      </c>
      <c r="H36">
        <v>1</v>
      </c>
      <c r="I36" t="s">
        <v>246</v>
      </c>
      <c r="K36" t="s">
        <v>247</v>
      </c>
      <c r="L36">
        <v>1191</v>
      </c>
      <c r="N36">
        <v>1013</v>
      </c>
      <c r="O36" t="s">
        <v>248</v>
      </c>
      <c r="P36" t="s">
        <v>248</v>
      </c>
      <c r="Q36">
        <v>1</v>
      </c>
      <c r="Y36">
        <v>41.4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36</v>
      </c>
      <c r="AU36" t="s">
        <v>32</v>
      </c>
      <c r="AV36">
        <v>1</v>
      </c>
      <c r="AW36">
        <v>2</v>
      </c>
      <c r="AX36">
        <v>16904698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ROW(Source!A44)</f>
        <v>44</v>
      </c>
      <c r="B37">
        <v>16903935</v>
      </c>
      <c r="C37">
        <v>16904695</v>
      </c>
      <c r="D37">
        <v>15379154</v>
      </c>
      <c r="E37">
        <v>1</v>
      </c>
      <c r="F37">
        <v>1</v>
      </c>
      <c r="G37">
        <v>10962768</v>
      </c>
      <c r="H37">
        <v>3</v>
      </c>
      <c r="I37" t="s">
        <v>284</v>
      </c>
      <c r="J37" t="s">
        <v>285</v>
      </c>
      <c r="K37" t="s">
        <v>286</v>
      </c>
      <c r="L37">
        <v>1327</v>
      </c>
      <c r="N37">
        <v>1005</v>
      </c>
      <c r="O37" t="s">
        <v>43</v>
      </c>
      <c r="P37" t="s">
        <v>43</v>
      </c>
      <c r="Q37">
        <v>1</v>
      </c>
      <c r="Y37">
        <v>41</v>
      </c>
      <c r="AA37">
        <v>6.32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41</v>
      </c>
      <c r="AV37">
        <v>0</v>
      </c>
      <c r="AW37">
        <v>2</v>
      </c>
      <c r="AX37">
        <v>16904699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ROW(Source!A44)</f>
        <v>44</v>
      </c>
      <c r="B38">
        <v>16903935</v>
      </c>
      <c r="C38">
        <v>16904695</v>
      </c>
      <c r="D38">
        <v>11555062</v>
      </c>
      <c r="E38">
        <v>1</v>
      </c>
      <c r="F38">
        <v>1</v>
      </c>
      <c r="G38">
        <v>10962768</v>
      </c>
      <c r="H38">
        <v>3</v>
      </c>
      <c r="I38" t="s">
        <v>104</v>
      </c>
      <c r="J38" t="s">
        <v>107</v>
      </c>
      <c r="K38" t="s">
        <v>105</v>
      </c>
      <c r="L38">
        <v>1346</v>
      </c>
      <c r="N38">
        <v>1009</v>
      </c>
      <c r="O38" t="s">
        <v>106</v>
      </c>
      <c r="P38" t="s">
        <v>106</v>
      </c>
      <c r="Q38">
        <v>1</v>
      </c>
      <c r="Y38">
        <v>5</v>
      </c>
      <c r="AA38">
        <v>5.19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5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ROW(Source!A46)</f>
        <v>46</v>
      </c>
      <c r="B39">
        <v>16903935</v>
      </c>
      <c r="C39">
        <v>16904703</v>
      </c>
      <c r="D39">
        <v>11474139</v>
      </c>
      <c r="E39">
        <v>10962768</v>
      </c>
      <c r="F39">
        <v>1</v>
      </c>
      <c r="G39">
        <v>10962768</v>
      </c>
      <c r="H39">
        <v>1</v>
      </c>
      <c r="I39" t="s">
        <v>246</v>
      </c>
      <c r="K39" t="s">
        <v>247</v>
      </c>
      <c r="L39">
        <v>1191</v>
      </c>
      <c r="N39">
        <v>1013</v>
      </c>
      <c r="O39" t="s">
        <v>248</v>
      </c>
      <c r="P39" t="s">
        <v>248</v>
      </c>
      <c r="Q39">
        <v>1</v>
      </c>
      <c r="Y39">
        <v>202.4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176</v>
      </c>
      <c r="AU39" t="s">
        <v>32</v>
      </c>
      <c r="AV39">
        <v>1</v>
      </c>
      <c r="AW39">
        <v>2</v>
      </c>
      <c r="AX39">
        <v>16904708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ROW(Source!A46)</f>
        <v>46</v>
      </c>
      <c r="B40">
        <v>16903935</v>
      </c>
      <c r="C40">
        <v>16904703</v>
      </c>
      <c r="D40">
        <v>11476092</v>
      </c>
      <c r="E40">
        <v>10962768</v>
      </c>
      <c r="F40">
        <v>1</v>
      </c>
      <c r="G40">
        <v>10962768</v>
      </c>
      <c r="H40">
        <v>2</v>
      </c>
      <c r="I40" t="s">
        <v>251</v>
      </c>
      <c r="K40" t="s">
        <v>252</v>
      </c>
      <c r="L40">
        <v>1344</v>
      </c>
      <c r="N40">
        <v>1008</v>
      </c>
      <c r="O40" t="s">
        <v>253</v>
      </c>
      <c r="P40" t="s">
        <v>253</v>
      </c>
      <c r="Q40">
        <v>1</v>
      </c>
      <c r="Y40">
        <v>24.575</v>
      </c>
      <c r="AA40">
        <v>0</v>
      </c>
      <c r="AB40">
        <v>1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19.66</v>
      </c>
      <c r="AU40" t="s">
        <v>31</v>
      </c>
      <c r="AV40">
        <v>0</v>
      </c>
      <c r="AW40">
        <v>2</v>
      </c>
      <c r="AX40">
        <v>16904709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ROW(Source!A46)</f>
        <v>46</v>
      </c>
      <c r="B41">
        <v>16903935</v>
      </c>
      <c r="C41">
        <v>16904703</v>
      </c>
      <c r="D41">
        <v>11500208</v>
      </c>
      <c r="E41">
        <v>10962768</v>
      </c>
      <c r="F41">
        <v>1</v>
      </c>
      <c r="G41">
        <v>10962768</v>
      </c>
      <c r="H41">
        <v>3</v>
      </c>
      <c r="I41" t="s">
        <v>249</v>
      </c>
      <c r="K41" t="s">
        <v>254</v>
      </c>
      <c r="L41">
        <v>1344</v>
      </c>
      <c r="N41">
        <v>1008</v>
      </c>
      <c r="O41" t="s">
        <v>253</v>
      </c>
      <c r="P41" t="s">
        <v>253</v>
      </c>
      <c r="Q41">
        <v>1</v>
      </c>
      <c r="Y41">
        <v>0.87</v>
      </c>
      <c r="AA41">
        <v>1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0.87</v>
      </c>
      <c r="AV41">
        <v>0</v>
      </c>
      <c r="AW41">
        <v>2</v>
      </c>
      <c r="AX41">
        <v>16904713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ROW(Source!A46)</f>
        <v>46</v>
      </c>
      <c r="B42">
        <v>16903935</v>
      </c>
      <c r="C42">
        <v>16904703</v>
      </c>
      <c r="D42">
        <v>15378584</v>
      </c>
      <c r="E42">
        <v>1</v>
      </c>
      <c r="F42">
        <v>1</v>
      </c>
      <c r="G42">
        <v>10962768</v>
      </c>
      <c r="H42">
        <v>3</v>
      </c>
      <c r="I42" t="s">
        <v>287</v>
      </c>
      <c r="J42" t="s">
        <v>288</v>
      </c>
      <c r="K42" t="s">
        <v>289</v>
      </c>
      <c r="L42">
        <v>1348</v>
      </c>
      <c r="N42">
        <v>1009</v>
      </c>
      <c r="O42" t="s">
        <v>48</v>
      </c>
      <c r="P42" t="s">
        <v>48</v>
      </c>
      <c r="Q42">
        <v>1000</v>
      </c>
      <c r="Y42">
        <v>0.00285</v>
      </c>
      <c r="AA42">
        <v>17876.91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0.00285</v>
      </c>
      <c r="AV42">
        <v>0</v>
      </c>
      <c r="AW42">
        <v>2</v>
      </c>
      <c r="AX42">
        <v>16904710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ROW(Source!A46)</f>
        <v>46</v>
      </c>
      <c r="B43">
        <v>16903935</v>
      </c>
      <c r="C43">
        <v>16904703</v>
      </c>
      <c r="D43">
        <v>15379334</v>
      </c>
      <c r="E43">
        <v>1</v>
      </c>
      <c r="F43">
        <v>1</v>
      </c>
      <c r="G43">
        <v>10962768</v>
      </c>
      <c r="H43">
        <v>3</v>
      </c>
      <c r="I43" t="s">
        <v>120</v>
      </c>
      <c r="J43" t="s">
        <v>122</v>
      </c>
      <c r="K43" t="s">
        <v>121</v>
      </c>
      <c r="L43">
        <v>1327</v>
      </c>
      <c r="N43">
        <v>1005</v>
      </c>
      <c r="O43" t="s">
        <v>43</v>
      </c>
      <c r="P43" t="s">
        <v>43</v>
      </c>
      <c r="Q43">
        <v>1</v>
      </c>
      <c r="Y43">
        <v>100</v>
      </c>
      <c r="AA43">
        <v>40.36</v>
      </c>
      <c r="AB43">
        <v>0</v>
      </c>
      <c r="AC43">
        <v>0</v>
      </c>
      <c r="AD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100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ROW(Source!A46)</f>
        <v>46</v>
      </c>
      <c r="B44">
        <v>16903935</v>
      </c>
      <c r="C44">
        <v>16904703</v>
      </c>
      <c r="D44">
        <v>15379335</v>
      </c>
      <c r="E44">
        <v>1</v>
      </c>
      <c r="F44">
        <v>1</v>
      </c>
      <c r="G44">
        <v>10962768</v>
      </c>
      <c r="H44">
        <v>3</v>
      </c>
      <c r="I44" t="s">
        <v>115</v>
      </c>
      <c r="J44" t="s">
        <v>118</v>
      </c>
      <c r="K44" t="s">
        <v>116</v>
      </c>
      <c r="L44">
        <v>1035</v>
      </c>
      <c r="N44">
        <v>1013</v>
      </c>
      <c r="O44" t="s">
        <v>117</v>
      </c>
      <c r="P44" t="s">
        <v>117</v>
      </c>
      <c r="Q44">
        <v>1</v>
      </c>
      <c r="Y44">
        <v>100</v>
      </c>
      <c r="AA44">
        <v>21.28</v>
      </c>
      <c r="AB44">
        <v>0</v>
      </c>
      <c r="AC44">
        <v>0</v>
      </c>
      <c r="AD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100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ROW(Source!A49)</f>
        <v>49</v>
      </c>
      <c r="B45">
        <v>16903935</v>
      </c>
      <c r="C45">
        <v>16904718</v>
      </c>
      <c r="D45">
        <v>11474139</v>
      </c>
      <c r="E45">
        <v>10962768</v>
      </c>
      <c r="F45">
        <v>1</v>
      </c>
      <c r="G45">
        <v>10962768</v>
      </c>
      <c r="H45">
        <v>1</v>
      </c>
      <c r="I45" t="s">
        <v>246</v>
      </c>
      <c r="K45" t="s">
        <v>247</v>
      </c>
      <c r="L45">
        <v>1191</v>
      </c>
      <c r="N45">
        <v>1013</v>
      </c>
      <c r="O45" t="s">
        <v>248</v>
      </c>
      <c r="P45" t="s">
        <v>248</v>
      </c>
      <c r="Q45">
        <v>1</v>
      </c>
      <c r="Y45">
        <v>0.6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0.6</v>
      </c>
      <c r="AV45">
        <v>1</v>
      </c>
      <c r="AW45">
        <v>2</v>
      </c>
      <c r="AX45">
        <v>16904720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ROW(Source!A50)</f>
        <v>50</v>
      </c>
      <c r="B46">
        <v>16903935</v>
      </c>
      <c r="C46">
        <v>16904721</v>
      </c>
      <c r="D46">
        <v>11474139</v>
      </c>
      <c r="E46">
        <v>10962768</v>
      </c>
      <c r="F46">
        <v>1</v>
      </c>
      <c r="G46">
        <v>10962768</v>
      </c>
      <c r="H46">
        <v>1</v>
      </c>
      <c r="I46" t="s">
        <v>246</v>
      </c>
      <c r="K46" t="s">
        <v>247</v>
      </c>
      <c r="L46">
        <v>1191</v>
      </c>
      <c r="N46">
        <v>1013</v>
      </c>
      <c r="O46" t="s">
        <v>248</v>
      </c>
      <c r="P46" t="s">
        <v>248</v>
      </c>
      <c r="Q46">
        <v>1</v>
      </c>
      <c r="Y46">
        <v>5.3475</v>
      </c>
      <c r="AA46">
        <v>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4.65</v>
      </c>
      <c r="AU46" t="s">
        <v>32</v>
      </c>
      <c r="AV46">
        <v>1</v>
      </c>
      <c r="AW46">
        <v>2</v>
      </c>
      <c r="AX46">
        <v>16904725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ROW(Source!A50)</f>
        <v>50</v>
      </c>
      <c r="B47">
        <v>16903935</v>
      </c>
      <c r="C47">
        <v>16904721</v>
      </c>
      <c r="D47">
        <v>11551151</v>
      </c>
      <c r="E47">
        <v>1</v>
      </c>
      <c r="F47">
        <v>1</v>
      </c>
      <c r="G47">
        <v>10962768</v>
      </c>
      <c r="H47">
        <v>2</v>
      </c>
      <c r="I47" t="s">
        <v>290</v>
      </c>
      <c r="J47" t="s">
        <v>291</v>
      </c>
      <c r="K47" t="s">
        <v>292</v>
      </c>
      <c r="L47">
        <v>1368</v>
      </c>
      <c r="N47">
        <v>1011</v>
      </c>
      <c r="O47" t="s">
        <v>258</v>
      </c>
      <c r="P47" t="s">
        <v>258</v>
      </c>
      <c r="Q47">
        <v>1</v>
      </c>
      <c r="Y47">
        <v>0.0125</v>
      </c>
      <c r="AA47">
        <v>0</v>
      </c>
      <c r="AB47">
        <v>74.44</v>
      </c>
      <c r="AC47">
        <v>17.59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0.01</v>
      </c>
      <c r="AU47" t="s">
        <v>31</v>
      </c>
      <c r="AV47">
        <v>0</v>
      </c>
      <c r="AW47">
        <v>2</v>
      </c>
      <c r="AX47">
        <v>16904726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ROW(Source!A50)</f>
        <v>50</v>
      </c>
      <c r="B48">
        <v>16903935</v>
      </c>
      <c r="C48">
        <v>16904721</v>
      </c>
      <c r="D48">
        <v>11551256</v>
      </c>
      <c r="E48">
        <v>1</v>
      </c>
      <c r="F48">
        <v>1</v>
      </c>
      <c r="G48">
        <v>10962768</v>
      </c>
      <c r="H48">
        <v>2</v>
      </c>
      <c r="I48" t="s">
        <v>293</v>
      </c>
      <c r="J48" t="s">
        <v>294</v>
      </c>
      <c r="K48" t="s">
        <v>295</v>
      </c>
      <c r="L48">
        <v>1368</v>
      </c>
      <c r="N48">
        <v>1011</v>
      </c>
      <c r="O48" t="s">
        <v>258</v>
      </c>
      <c r="P48" t="s">
        <v>258</v>
      </c>
      <c r="Q48">
        <v>1</v>
      </c>
      <c r="Y48">
        <v>0.0375</v>
      </c>
      <c r="AA48">
        <v>0</v>
      </c>
      <c r="AB48">
        <v>1.76</v>
      </c>
      <c r="AC48">
        <v>0.01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0.03</v>
      </c>
      <c r="AU48" t="s">
        <v>31</v>
      </c>
      <c r="AV48">
        <v>0</v>
      </c>
      <c r="AW48">
        <v>2</v>
      </c>
      <c r="AX48">
        <v>16904727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ROW(Source!A50)</f>
        <v>50</v>
      </c>
      <c r="B49">
        <v>16903935</v>
      </c>
      <c r="C49">
        <v>16904721</v>
      </c>
      <c r="D49">
        <v>15380269</v>
      </c>
      <c r="E49">
        <v>1</v>
      </c>
      <c r="F49">
        <v>1</v>
      </c>
      <c r="G49">
        <v>10962768</v>
      </c>
      <c r="H49">
        <v>3</v>
      </c>
      <c r="I49" t="s">
        <v>136</v>
      </c>
      <c r="J49" t="s">
        <v>138</v>
      </c>
      <c r="K49" t="s">
        <v>137</v>
      </c>
      <c r="L49">
        <v>1346</v>
      </c>
      <c r="N49">
        <v>1009</v>
      </c>
      <c r="O49" t="s">
        <v>106</v>
      </c>
      <c r="P49" t="s">
        <v>106</v>
      </c>
      <c r="Q49">
        <v>1</v>
      </c>
      <c r="Y49">
        <v>10.3</v>
      </c>
      <c r="AA49">
        <v>87.66</v>
      </c>
      <c r="AB49">
        <v>0</v>
      </c>
      <c r="AC49">
        <v>0</v>
      </c>
      <c r="AD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T49">
        <v>10.3</v>
      </c>
      <c r="AV49">
        <v>0</v>
      </c>
      <c r="AW49">
        <v>1</v>
      </c>
      <c r="AX49">
        <v>-1</v>
      </c>
      <c r="AY49">
        <v>0</v>
      </c>
      <c r="AZ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ROW(Source!A52)</f>
        <v>52</v>
      </c>
      <c r="B50">
        <v>16903935</v>
      </c>
      <c r="C50">
        <v>16904731</v>
      </c>
      <c r="D50">
        <v>11474139</v>
      </c>
      <c r="E50">
        <v>10962768</v>
      </c>
      <c r="F50">
        <v>1</v>
      </c>
      <c r="G50">
        <v>10962768</v>
      </c>
      <c r="H50">
        <v>1</v>
      </c>
      <c r="I50" t="s">
        <v>246</v>
      </c>
      <c r="K50" t="s">
        <v>247</v>
      </c>
      <c r="L50">
        <v>1191</v>
      </c>
      <c r="N50">
        <v>1013</v>
      </c>
      <c r="O50" t="s">
        <v>248</v>
      </c>
      <c r="P50" t="s">
        <v>248</v>
      </c>
      <c r="Q50">
        <v>1</v>
      </c>
      <c r="Y50">
        <v>48.53</v>
      </c>
      <c r="AA50">
        <v>0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42.2</v>
      </c>
      <c r="AU50" t="s">
        <v>32</v>
      </c>
      <c r="AV50">
        <v>1</v>
      </c>
      <c r="AW50">
        <v>2</v>
      </c>
      <c r="AX50">
        <v>16904735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ROW(Source!A52)</f>
        <v>52</v>
      </c>
      <c r="B51">
        <v>16903935</v>
      </c>
      <c r="C51">
        <v>16904731</v>
      </c>
      <c r="D51">
        <v>11476092</v>
      </c>
      <c r="E51">
        <v>10962768</v>
      </c>
      <c r="F51">
        <v>1</v>
      </c>
      <c r="G51">
        <v>10962768</v>
      </c>
      <c r="H51">
        <v>2</v>
      </c>
      <c r="I51" t="s">
        <v>251</v>
      </c>
      <c r="K51" t="s">
        <v>252</v>
      </c>
      <c r="L51">
        <v>1344</v>
      </c>
      <c r="N51">
        <v>1008</v>
      </c>
      <c r="O51" t="s">
        <v>253</v>
      </c>
      <c r="P51" t="s">
        <v>253</v>
      </c>
      <c r="Q51">
        <v>1</v>
      </c>
      <c r="Y51">
        <v>36.2875</v>
      </c>
      <c r="AA51">
        <v>0</v>
      </c>
      <c r="AB51">
        <v>1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29.03</v>
      </c>
      <c r="AU51" t="s">
        <v>31</v>
      </c>
      <c r="AV51">
        <v>0</v>
      </c>
      <c r="AW51">
        <v>2</v>
      </c>
      <c r="AX51">
        <v>16904736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ROW(Source!A52)</f>
        <v>52</v>
      </c>
      <c r="B52">
        <v>16903935</v>
      </c>
      <c r="C52">
        <v>16904731</v>
      </c>
      <c r="D52">
        <v>11500208</v>
      </c>
      <c r="E52">
        <v>10962768</v>
      </c>
      <c r="F52">
        <v>1</v>
      </c>
      <c r="G52">
        <v>10962768</v>
      </c>
      <c r="H52">
        <v>3</v>
      </c>
      <c r="I52" t="s">
        <v>249</v>
      </c>
      <c r="K52" t="s">
        <v>254</v>
      </c>
      <c r="L52">
        <v>1344</v>
      </c>
      <c r="N52">
        <v>1008</v>
      </c>
      <c r="O52" t="s">
        <v>253</v>
      </c>
      <c r="P52" t="s">
        <v>253</v>
      </c>
      <c r="Q52">
        <v>1</v>
      </c>
      <c r="Y52">
        <v>12.18</v>
      </c>
      <c r="AA52">
        <v>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12.18</v>
      </c>
      <c r="AV52">
        <v>0</v>
      </c>
      <c r="AW52">
        <v>2</v>
      </c>
      <c r="AX52">
        <v>16904740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ROW(Source!A52)</f>
        <v>52</v>
      </c>
      <c r="B53">
        <v>16903935</v>
      </c>
      <c r="C53">
        <v>16904731</v>
      </c>
      <c r="D53">
        <v>15379918</v>
      </c>
      <c r="E53">
        <v>1</v>
      </c>
      <c r="F53">
        <v>1</v>
      </c>
      <c r="G53">
        <v>10962768</v>
      </c>
      <c r="H53">
        <v>3</v>
      </c>
      <c r="I53" t="s">
        <v>144</v>
      </c>
      <c r="J53" t="s">
        <v>146</v>
      </c>
      <c r="K53" t="s">
        <v>145</v>
      </c>
      <c r="L53">
        <v>1348</v>
      </c>
      <c r="N53">
        <v>1009</v>
      </c>
      <c r="O53" t="s">
        <v>48</v>
      </c>
      <c r="P53" t="s">
        <v>48</v>
      </c>
      <c r="Q53">
        <v>1000</v>
      </c>
      <c r="Y53">
        <v>0.034</v>
      </c>
      <c r="AA53">
        <v>13953.6</v>
      </c>
      <c r="AB53">
        <v>0</v>
      </c>
      <c r="AC53">
        <v>0</v>
      </c>
      <c r="AD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0.034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ROW(Source!A52)</f>
        <v>52</v>
      </c>
      <c r="B54">
        <v>16903935</v>
      </c>
      <c r="C54">
        <v>16904731</v>
      </c>
      <c r="D54">
        <v>15380568</v>
      </c>
      <c r="E54">
        <v>1</v>
      </c>
      <c r="F54">
        <v>1</v>
      </c>
      <c r="G54">
        <v>10962768</v>
      </c>
      <c r="H54">
        <v>3</v>
      </c>
      <c r="I54" t="s">
        <v>148</v>
      </c>
      <c r="J54" t="s">
        <v>150</v>
      </c>
      <c r="K54" t="s">
        <v>149</v>
      </c>
      <c r="L54">
        <v>1348</v>
      </c>
      <c r="N54">
        <v>1009</v>
      </c>
      <c r="O54" t="s">
        <v>48</v>
      </c>
      <c r="P54" t="s">
        <v>48</v>
      </c>
      <c r="Q54">
        <v>1000</v>
      </c>
      <c r="Y54">
        <v>0.063</v>
      </c>
      <c r="AA54">
        <v>33030.4</v>
      </c>
      <c r="AB54">
        <v>0</v>
      </c>
      <c r="AC54">
        <v>0</v>
      </c>
      <c r="AD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T54">
        <v>0.063</v>
      </c>
      <c r="AV54">
        <v>0</v>
      </c>
      <c r="AW54">
        <v>1</v>
      </c>
      <c r="AX54">
        <v>-1</v>
      </c>
      <c r="AY54">
        <v>0</v>
      </c>
      <c r="AZ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ROW(Source!A81)</f>
        <v>81</v>
      </c>
      <c r="B55">
        <v>16903935</v>
      </c>
      <c r="C55">
        <v>16904774</v>
      </c>
      <c r="D55">
        <v>11474139</v>
      </c>
      <c r="E55">
        <v>10962768</v>
      </c>
      <c r="F55">
        <v>1</v>
      </c>
      <c r="G55">
        <v>10962768</v>
      </c>
      <c r="H55">
        <v>1</v>
      </c>
      <c r="I55" t="s">
        <v>246</v>
      </c>
      <c r="K55" t="s">
        <v>247</v>
      </c>
      <c r="L55">
        <v>1191</v>
      </c>
      <c r="N55">
        <v>1013</v>
      </c>
      <c r="O55" t="s">
        <v>248</v>
      </c>
      <c r="P55" t="s">
        <v>248</v>
      </c>
      <c r="Q55">
        <v>1</v>
      </c>
      <c r="Y55">
        <v>49.1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49.1</v>
      </c>
      <c r="AV55">
        <v>1</v>
      </c>
      <c r="AW55">
        <v>2</v>
      </c>
      <c r="AX55">
        <v>16904775</v>
      </c>
      <c r="AY55">
        <v>1</v>
      </c>
      <c r="AZ55">
        <v>0</v>
      </c>
      <c r="BA55">
        <v>56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ROW(Source!A81)</f>
        <v>81</v>
      </c>
      <c r="B56">
        <v>16903935</v>
      </c>
      <c r="C56">
        <v>16904774</v>
      </c>
      <c r="D56">
        <v>11500203</v>
      </c>
      <c r="E56">
        <v>10962768</v>
      </c>
      <c r="F56">
        <v>1</v>
      </c>
      <c r="G56">
        <v>10962768</v>
      </c>
      <c r="H56">
        <v>3</v>
      </c>
      <c r="I56" t="s">
        <v>249</v>
      </c>
      <c r="K56" t="s">
        <v>250</v>
      </c>
      <c r="L56">
        <v>1348</v>
      </c>
      <c r="N56">
        <v>1009</v>
      </c>
      <c r="O56" t="s">
        <v>48</v>
      </c>
      <c r="P56" t="s">
        <v>48</v>
      </c>
      <c r="Q56">
        <v>1000</v>
      </c>
      <c r="Y56">
        <v>4.6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4.6</v>
      </c>
      <c r="AV56">
        <v>0</v>
      </c>
      <c r="AW56">
        <v>2</v>
      </c>
      <c r="AX56">
        <v>16904776</v>
      </c>
      <c r="AY56">
        <v>1</v>
      </c>
      <c r="AZ56">
        <v>0</v>
      </c>
      <c r="BA56">
        <v>57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ROW(Source!A82)</f>
        <v>82</v>
      </c>
      <c r="B57">
        <v>16903935</v>
      </c>
      <c r="C57">
        <v>16905638</v>
      </c>
      <c r="D57">
        <v>11474139</v>
      </c>
      <c r="E57">
        <v>10962768</v>
      </c>
      <c r="F57">
        <v>1</v>
      </c>
      <c r="G57">
        <v>10962768</v>
      </c>
      <c r="H57">
        <v>1</v>
      </c>
      <c r="I57" t="s">
        <v>246</v>
      </c>
      <c r="K57" t="s">
        <v>247</v>
      </c>
      <c r="L57">
        <v>1191</v>
      </c>
      <c r="N57">
        <v>1013</v>
      </c>
      <c r="O57" t="s">
        <v>248</v>
      </c>
      <c r="P57" t="s">
        <v>248</v>
      </c>
      <c r="Q57">
        <v>1</v>
      </c>
      <c r="Y57">
        <v>81.25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65</v>
      </c>
      <c r="AU57" t="s">
        <v>31</v>
      </c>
      <c r="AV57">
        <v>1</v>
      </c>
      <c r="AW57">
        <v>2</v>
      </c>
      <c r="AX57">
        <v>16905639</v>
      </c>
      <c r="AY57">
        <v>1</v>
      </c>
      <c r="AZ57">
        <v>0</v>
      </c>
      <c r="BA57">
        <v>58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ROW(Source!A82)</f>
        <v>82</v>
      </c>
      <c r="B58">
        <v>16903935</v>
      </c>
      <c r="C58">
        <v>16905638</v>
      </c>
      <c r="D58">
        <v>11476092</v>
      </c>
      <c r="E58">
        <v>10962768</v>
      </c>
      <c r="F58">
        <v>1</v>
      </c>
      <c r="G58">
        <v>10962768</v>
      </c>
      <c r="H58">
        <v>2</v>
      </c>
      <c r="I58" t="s">
        <v>251</v>
      </c>
      <c r="K58" t="s">
        <v>252</v>
      </c>
      <c r="L58">
        <v>1344</v>
      </c>
      <c r="N58">
        <v>1008</v>
      </c>
      <c r="O58" t="s">
        <v>253</v>
      </c>
      <c r="P58" t="s">
        <v>253</v>
      </c>
      <c r="Q58">
        <v>1</v>
      </c>
      <c r="Y58">
        <v>29.9575</v>
      </c>
      <c r="AA58">
        <v>0</v>
      </c>
      <c r="AB58">
        <v>1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26.05</v>
      </c>
      <c r="AU58" t="s">
        <v>32</v>
      </c>
      <c r="AV58">
        <v>0</v>
      </c>
      <c r="AW58">
        <v>2</v>
      </c>
      <c r="AX58">
        <v>16905641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ROW(Source!A82)</f>
        <v>82</v>
      </c>
      <c r="B59">
        <v>16903935</v>
      </c>
      <c r="C59">
        <v>16905638</v>
      </c>
      <c r="D59">
        <v>11550748</v>
      </c>
      <c r="E59">
        <v>1</v>
      </c>
      <c r="F59">
        <v>1</v>
      </c>
      <c r="G59">
        <v>10962768</v>
      </c>
      <c r="H59">
        <v>2</v>
      </c>
      <c r="I59" t="s">
        <v>296</v>
      </c>
      <c r="J59" t="s">
        <v>297</v>
      </c>
      <c r="K59" t="s">
        <v>298</v>
      </c>
      <c r="L59">
        <v>1368</v>
      </c>
      <c r="N59">
        <v>1011</v>
      </c>
      <c r="O59" t="s">
        <v>258</v>
      </c>
      <c r="P59" t="s">
        <v>258</v>
      </c>
      <c r="Q59">
        <v>1</v>
      </c>
      <c r="Y59">
        <v>5.405</v>
      </c>
      <c r="AA59">
        <v>0</v>
      </c>
      <c r="AB59">
        <v>52.95</v>
      </c>
      <c r="AC59">
        <v>13.2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4.7</v>
      </c>
      <c r="AU59" t="s">
        <v>32</v>
      </c>
      <c r="AV59">
        <v>0</v>
      </c>
      <c r="AW59">
        <v>2</v>
      </c>
      <c r="AX59">
        <v>16905640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ROW(Source!A82)</f>
        <v>82</v>
      </c>
      <c r="B60">
        <v>16903935</v>
      </c>
      <c r="C60">
        <v>16905638</v>
      </c>
      <c r="D60">
        <v>11500208</v>
      </c>
      <c r="E60">
        <v>10962768</v>
      </c>
      <c r="F60">
        <v>1</v>
      </c>
      <c r="G60">
        <v>10962768</v>
      </c>
      <c r="H60">
        <v>3</v>
      </c>
      <c r="I60" t="s">
        <v>249</v>
      </c>
      <c r="K60" t="s">
        <v>254</v>
      </c>
      <c r="L60">
        <v>1344</v>
      </c>
      <c r="N60">
        <v>1008</v>
      </c>
      <c r="O60" t="s">
        <v>253</v>
      </c>
      <c r="P60" t="s">
        <v>253</v>
      </c>
      <c r="Q60">
        <v>1</v>
      </c>
      <c r="Y60">
        <v>2.25</v>
      </c>
      <c r="AA60">
        <v>1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2.25</v>
      </c>
      <c r="AV60">
        <v>0</v>
      </c>
      <c r="AW60">
        <v>2</v>
      </c>
      <c r="AX60">
        <v>16905646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ROW(Source!A82)</f>
        <v>82</v>
      </c>
      <c r="B61">
        <v>16903935</v>
      </c>
      <c r="C61">
        <v>16905638</v>
      </c>
      <c r="D61">
        <v>15379489</v>
      </c>
      <c r="E61">
        <v>1</v>
      </c>
      <c r="F61">
        <v>1</v>
      </c>
      <c r="G61">
        <v>10962768</v>
      </c>
      <c r="H61">
        <v>3</v>
      </c>
      <c r="I61" t="s">
        <v>299</v>
      </c>
      <c r="J61" t="s">
        <v>300</v>
      </c>
      <c r="K61" t="s">
        <v>301</v>
      </c>
      <c r="L61">
        <v>1327</v>
      </c>
      <c r="N61">
        <v>1005</v>
      </c>
      <c r="O61" t="s">
        <v>43</v>
      </c>
      <c r="P61" t="s">
        <v>43</v>
      </c>
      <c r="Q61">
        <v>1</v>
      </c>
      <c r="Y61">
        <v>2.77</v>
      </c>
      <c r="AA61">
        <v>33.56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2.77</v>
      </c>
      <c r="AV61">
        <v>0</v>
      </c>
      <c r="AW61">
        <v>2</v>
      </c>
      <c r="AX61">
        <v>16905643</v>
      </c>
      <c r="AY61">
        <v>1</v>
      </c>
      <c r="AZ61">
        <v>0</v>
      </c>
      <c r="BA61">
        <v>63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ROW(Source!A82)</f>
        <v>82</v>
      </c>
      <c r="B62">
        <v>16903935</v>
      </c>
      <c r="C62">
        <v>16905638</v>
      </c>
      <c r="D62">
        <v>11555037</v>
      </c>
      <c r="E62">
        <v>1</v>
      </c>
      <c r="F62">
        <v>1</v>
      </c>
      <c r="G62">
        <v>10962768</v>
      </c>
      <c r="H62">
        <v>3</v>
      </c>
      <c r="I62" t="s">
        <v>198</v>
      </c>
      <c r="J62" t="s">
        <v>200</v>
      </c>
      <c r="K62" t="s">
        <v>199</v>
      </c>
      <c r="L62">
        <v>1348</v>
      </c>
      <c r="N62">
        <v>1009</v>
      </c>
      <c r="O62" t="s">
        <v>48</v>
      </c>
      <c r="P62" t="s">
        <v>48</v>
      </c>
      <c r="Q62">
        <v>1000</v>
      </c>
      <c r="Y62">
        <v>0.48</v>
      </c>
      <c r="AA62">
        <v>796.76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0.48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ROW(Source!A82)</f>
        <v>82</v>
      </c>
      <c r="B63">
        <v>16903935</v>
      </c>
      <c r="C63">
        <v>16905638</v>
      </c>
      <c r="D63">
        <v>11555018</v>
      </c>
      <c r="E63">
        <v>1</v>
      </c>
      <c r="F63">
        <v>1</v>
      </c>
      <c r="G63">
        <v>10962768</v>
      </c>
      <c r="H63">
        <v>3</v>
      </c>
      <c r="I63" t="s">
        <v>202</v>
      </c>
      <c r="J63" t="s">
        <v>204</v>
      </c>
      <c r="K63" t="s">
        <v>203</v>
      </c>
      <c r="L63">
        <v>1339</v>
      </c>
      <c r="N63">
        <v>1007</v>
      </c>
      <c r="O63" t="s">
        <v>90</v>
      </c>
      <c r="P63" t="s">
        <v>90</v>
      </c>
      <c r="Q63">
        <v>1</v>
      </c>
      <c r="Y63">
        <v>1.208</v>
      </c>
      <c r="AA63">
        <v>396.06</v>
      </c>
      <c r="AB63">
        <v>0</v>
      </c>
      <c r="AC63">
        <v>0</v>
      </c>
      <c r="AD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1.208</v>
      </c>
      <c r="AV63">
        <v>0</v>
      </c>
      <c r="AW63">
        <v>1</v>
      </c>
      <c r="AX63">
        <v>-1</v>
      </c>
      <c r="AY63">
        <v>0</v>
      </c>
      <c r="AZ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ROW(Source!A85)</f>
        <v>85</v>
      </c>
      <c r="B64">
        <v>16903935</v>
      </c>
      <c r="C64">
        <v>16905656</v>
      </c>
      <c r="D64">
        <v>11474139</v>
      </c>
      <c r="E64">
        <v>10962768</v>
      </c>
      <c r="F64">
        <v>1</v>
      </c>
      <c r="G64">
        <v>10962768</v>
      </c>
      <c r="H64">
        <v>1</v>
      </c>
      <c r="I64" t="s">
        <v>246</v>
      </c>
      <c r="K64" t="s">
        <v>247</v>
      </c>
      <c r="L64">
        <v>1191</v>
      </c>
      <c r="N64">
        <v>1013</v>
      </c>
      <c r="O64" t="s">
        <v>248</v>
      </c>
      <c r="P64" t="s">
        <v>248</v>
      </c>
      <c r="Q64">
        <v>1</v>
      </c>
      <c r="Y64">
        <v>17.25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13.8</v>
      </c>
      <c r="AU64" t="s">
        <v>31</v>
      </c>
      <c r="AV64">
        <v>1</v>
      </c>
      <c r="AW64">
        <v>2</v>
      </c>
      <c r="AX64">
        <v>16905657</v>
      </c>
      <c r="AY64">
        <v>1</v>
      </c>
      <c r="AZ64">
        <v>0</v>
      </c>
      <c r="BA64">
        <v>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ROW(Source!A85)</f>
        <v>85</v>
      </c>
      <c r="B65">
        <v>16903935</v>
      </c>
      <c r="C65">
        <v>16905656</v>
      </c>
      <c r="D65">
        <v>11476092</v>
      </c>
      <c r="E65">
        <v>10962768</v>
      </c>
      <c r="F65">
        <v>1</v>
      </c>
      <c r="G65">
        <v>10962768</v>
      </c>
      <c r="H65">
        <v>2</v>
      </c>
      <c r="I65" t="s">
        <v>251</v>
      </c>
      <c r="K65" t="s">
        <v>252</v>
      </c>
      <c r="L65">
        <v>1344</v>
      </c>
      <c r="N65">
        <v>1008</v>
      </c>
      <c r="O65" t="s">
        <v>253</v>
      </c>
      <c r="P65" t="s">
        <v>253</v>
      </c>
      <c r="Q65">
        <v>1</v>
      </c>
      <c r="Y65">
        <v>18.836999999999996</v>
      </c>
      <c r="AA65">
        <v>0</v>
      </c>
      <c r="AB65">
        <v>1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16.38</v>
      </c>
      <c r="AU65" t="s">
        <v>32</v>
      </c>
      <c r="AV65">
        <v>0</v>
      </c>
      <c r="AW65">
        <v>2</v>
      </c>
      <c r="AX65">
        <v>16905658</v>
      </c>
      <c r="AY65">
        <v>1</v>
      </c>
      <c r="AZ65">
        <v>0</v>
      </c>
      <c r="BA65">
        <v>67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ROW(Source!A85)</f>
        <v>85</v>
      </c>
      <c r="B66">
        <v>16903935</v>
      </c>
      <c r="C66">
        <v>16905656</v>
      </c>
      <c r="D66">
        <v>11500208</v>
      </c>
      <c r="E66">
        <v>10962768</v>
      </c>
      <c r="F66">
        <v>1</v>
      </c>
      <c r="G66">
        <v>10962768</v>
      </c>
      <c r="H66">
        <v>3</v>
      </c>
      <c r="I66" t="s">
        <v>249</v>
      </c>
      <c r="K66" t="s">
        <v>254</v>
      </c>
      <c r="L66">
        <v>1344</v>
      </c>
      <c r="N66">
        <v>1008</v>
      </c>
      <c r="O66" t="s">
        <v>253</v>
      </c>
      <c r="P66" t="s">
        <v>253</v>
      </c>
      <c r="Q66">
        <v>1</v>
      </c>
      <c r="Y66">
        <v>1.19</v>
      </c>
      <c r="AA66">
        <v>1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1.19</v>
      </c>
      <c r="AV66">
        <v>0</v>
      </c>
      <c r="AW66">
        <v>2</v>
      </c>
      <c r="AX66">
        <v>16905662</v>
      </c>
      <c r="AY66">
        <v>1</v>
      </c>
      <c r="AZ66">
        <v>0</v>
      </c>
      <c r="BA66">
        <v>68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ROW(Source!A85)</f>
        <v>85</v>
      </c>
      <c r="B67">
        <v>16903935</v>
      </c>
      <c r="C67">
        <v>16905656</v>
      </c>
      <c r="D67">
        <v>15379925</v>
      </c>
      <c r="E67">
        <v>1</v>
      </c>
      <c r="F67">
        <v>1</v>
      </c>
      <c r="G67">
        <v>10962768</v>
      </c>
      <c r="H67">
        <v>3</v>
      </c>
      <c r="I67" t="s">
        <v>208</v>
      </c>
      <c r="J67" t="s">
        <v>210</v>
      </c>
      <c r="K67" t="s">
        <v>209</v>
      </c>
      <c r="L67">
        <v>1348</v>
      </c>
      <c r="N67">
        <v>1009</v>
      </c>
      <c r="O67" t="s">
        <v>48</v>
      </c>
      <c r="P67" t="s">
        <v>48</v>
      </c>
      <c r="Q67">
        <v>1000</v>
      </c>
      <c r="Y67">
        <v>0.0055</v>
      </c>
      <c r="AA67">
        <v>2278.84</v>
      </c>
      <c r="AB67">
        <v>0</v>
      </c>
      <c r="AC67">
        <v>0</v>
      </c>
      <c r="AD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T67">
        <v>0.0055</v>
      </c>
      <c r="AV67">
        <v>0</v>
      </c>
      <c r="AW67">
        <v>1</v>
      </c>
      <c r="AX67">
        <v>-1</v>
      </c>
      <c r="AY67">
        <v>0</v>
      </c>
      <c r="AZ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ROW(Source!A85)</f>
        <v>85</v>
      </c>
      <c r="B68">
        <v>16903935</v>
      </c>
      <c r="C68">
        <v>16905656</v>
      </c>
      <c r="D68">
        <v>15378946</v>
      </c>
      <c r="E68">
        <v>1</v>
      </c>
      <c r="F68">
        <v>1</v>
      </c>
      <c r="G68">
        <v>10962768</v>
      </c>
      <c r="H68">
        <v>3</v>
      </c>
      <c r="I68" t="s">
        <v>211</v>
      </c>
      <c r="J68" t="s">
        <v>213</v>
      </c>
      <c r="K68" t="s">
        <v>212</v>
      </c>
      <c r="L68">
        <v>1348</v>
      </c>
      <c r="N68">
        <v>1009</v>
      </c>
      <c r="O68" t="s">
        <v>48</v>
      </c>
      <c r="P68" t="s">
        <v>48</v>
      </c>
      <c r="Q68">
        <v>1000</v>
      </c>
      <c r="Y68">
        <v>0.052</v>
      </c>
      <c r="AA68">
        <v>22652.13</v>
      </c>
      <c r="AB68">
        <v>0</v>
      </c>
      <c r="AC68">
        <v>0</v>
      </c>
      <c r="AD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T68">
        <v>0.052</v>
      </c>
      <c r="AV68">
        <v>0</v>
      </c>
      <c r="AW68">
        <v>1</v>
      </c>
      <c r="AX68">
        <v>-1</v>
      </c>
      <c r="AY68">
        <v>0</v>
      </c>
      <c r="AZ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ROW(Source!A114)</f>
        <v>114</v>
      </c>
      <c r="B69">
        <v>16903935</v>
      </c>
      <c r="C69">
        <v>16905281</v>
      </c>
      <c r="D69">
        <v>11474139</v>
      </c>
      <c r="E69">
        <v>10962768</v>
      </c>
      <c r="F69">
        <v>1</v>
      </c>
      <c r="G69">
        <v>10962768</v>
      </c>
      <c r="H69">
        <v>1</v>
      </c>
      <c r="I69" t="s">
        <v>246</v>
      </c>
      <c r="K69" t="s">
        <v>247</v>
      </c>
      <c r="L69">
        <v>1191</v>
      </c>
      <c r="N69">
        <v>1013</v>
      </c>
      <c r="O69" t="s">
        <v>248</v>
      </c>
      <c r="P69" t="s">
        <v>248</v>
      </c>
      <c r="Q69">
        <v>1</v>
      </c>
      <c r="Y69">
        <v>24.9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41.5</v>
      </c>
      <c r="AU69" t="s">
        <v>217</v>
      </c>
      <c r="AV69">
        <v>1</v>
      </c>
      <c r="AW69">
        <v>2</v>
      </c>
      <c r="AX69">
        <v>16905282</v>
      </c>
      <c r="AY69">
        <v>1</v>
      </c>
      <c r="AZ69">
        <v>0</v>
      </c>
      <c r="BA69">
        <v>72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ROW(Source!A114)</f>
        <v>114</v>
      </c>
      <c r="B70">
        <v>16903935</v>
      </c>
      <c r="C70">
        <v>16905281</v>
      </c>
      <c r="D70">
        <v>11476092</v>
      </c>
      <c r="E70">
        <v>10962768</v>
      </c>
      <c r="F70">
        <v>1</v>
      </c>
      <c r="G70">
        <v>10962768</v>
      </c>
      <c r="H70">
        <v>2</v>
      </c>
      <c r="I70" t="s">
        <v>251</v>
      </c>
      <c r="K70" t="s">
        <v>252</v>
      </c>
      <c r="L70">
        <v>1344</v>
      </c>
      <c r="N70">
        <v>1008</v>
      </c>
      <c r="O70" t="s">
        <v>253</v>
      </c>
      <c r="P70" t="s">
        <v>253</v>
      </c>
      <c r="Q70">
        <v>1</v>
      </c>
      <c r="Y70">
        <v>48.684</v>
      </c>
      <c r="AA70">
        <v>0</v>
      </c>
      <c r="AB70">
        <v>1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81.14</v>
      </c>
      <c r="AU70" t="s">
        <v>217</v>
      </c>
      <c r="AV70">
        <v>0</v>
      </c>
      <c r="AW70">
        <v>2</v>
      </c>
      <c r="AX70">
        <v>16905283</v>
      </c>
      <c r="AY70">
        <v>1</v>
      </c>
      <c r="AZ70">
        <v>0</v>
      </c>
      <c r="BA70">
        <v>73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ROW(Source!A115)</f>
        <v>115</v>
      </c>
      <c r="B71">
        <v>16903935</v>
      </c>
      <c r="C71">
        <v>16905291</v>
      </c>
      <c r="D71">
        <v>11474139</v>
      </c>
      <c r="E71">
        <v>10962768</v>
      </c>
      <c r="F71">
        <v>1</v>
      </c>
      <c r="G71">
        <v>10962768</v>
      </c>
      <c r="H71">
        <v>1</v>
      </c>
      <c r="I71" t="s">
        <v>246</v>
      </c>
      <c r="K71" t="s">
        <v>247</v>
      </c>
      <c r="L71">
        <v>1191</v>
      </c>
      <c r="N71">
        <v>1013</v>
      </c>
      <c r="O71" t="s">
        <v>248</v>
      </c>
      <c r="P71" t="s">
        <v>248</v>
      </c>
      <c r="Q71">
        <v>1</v>
      </c>
      <c r="Y71">
        <v>532.3</v>
      </c>
      <c r="AA71">
        <v>0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532.3</v>
      </c>
      <c r="AV71">
        <v>1</v>
      </c>
      <c r="AW71">
        <v>2</v>
      </c>
      <c r="AX71">
        <v>16905292</v>
      </c>
      <c r="AY71">
        <v>1</v>
      </c>
      <c r="AZ71">
        <v>0</v>
      </c>
      <c r="BA71">
        <v>76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ROW(Source!A115)</f>
        <v>115</v>
      </c>
      <c r="B72">
        <v>16903935</v>
      </c>
      <c r="C72">
        <v>16905291</v>
      </c>
      <c r="D72">
        <v>11500203</v>
      </c>
      <c r="E72">
        <v>10962768</v>
      </c>
      <c r="F72">
        <v>1</v>
      </c>
      <c r="G72">
        <v>10962768</v>
      </c>
      <c r="H72">
        <v>3</v>
      </c>
      <c r="I72" t="s">
        <v>249</v>
      </c>
      <c r="K72" t="s">
        <v>250</v>
      </c>
      <c r="L72">
        <v>1348</v>
      </c>
      <c r="N72">
        <v>1009</v>
      </c>
      <c r="O72" t="s">
        <v>48</v>
      </c>
      <c r="P72" t="s">
        <v>48</v>
      </c>
      <c r="Q72">
        <v>1000</v>
      </c>
      <c r="Y72">
        <v>19.3</v>
      </c>
      <c r="AA72">
        <v>0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19.3</v>
      </c>
      <c r="AV72">
        <v>0</v>
      </c>
      <c r="AW72">
        <v>2</v>
      </c>
      <c r="AX72">
        <v>16905293</v>
      </c>
      <c r="AY72">
        <v>1</v>
      </c>
      <c r="AZ72">
        <v>0</v>
      </c>
      <c r="BA72">
        <v>77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ROW(Source!A116)</f>
        <v>116</v>
      </c>
      <c r="B73">
        <v>16903935</v>
      </c>
      <c r="C73">
        <v>16905297</v>
      </c>
      <c r="D73">
        <v>11474139</v>
      </c>
      <c r="E73">
        <v>10962768</v>
      </c>
      <c r="F73">
        <v>1</v>
      </c>
      <c r="G73">
        <v>10962768</v>
      </c>
      <c r="H73">
        <v>1</v>
      </c>
      <c r="I73" t="s">
        <v>246</v>
      </c>
      <c r="K73" t="s">
        <v>247</v>
      </c>
      <c r="L73">
        <v>1191</v>
      </c>
      <c r="N73">
        <v>1013</v>
      </c>
      <c r="O73" t="s">
        <v>248</v>
      </c>
      <c r="P73" t="s">
        <v>248</v>
      </c>
      <c r="Q73">
        <v>1</v>
      </c>
      <c r="Y73">
        <v>1599.65</v>
      </c>
      <c r="AA73">
        <v>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1391</v>
      </c>
      <c r="AU73" t="s">
        <v>32</v>
      </c>
      <c r="AV73">
        <v>1</v>
      </c>
      <c r="AW73">
        <v>2</v>
      </c>
      <c r="AX73">
        <v>16905426</v>
      </c>
      <c r="AY73">
        <v>1</v>
      </c>
      <c r="AZ73">
        <v>0</v>
      </c>
      <c r="BA73">
        <v>78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ROW(Source!A116)</f>
        <v>116</v>
      </c>
      <c r="B74">
        <v>16903935</v>
      </c>
      <c r="C74">
        <v>16905297</v>
      </c>
      <c r="D74">
        <v>11476092</v>
      </c>
      <c r="E74">
        <v>10962768</v>
      </c>
      <c r="F74">
        <v>1</v>
      </c>
      <c r="G74">
        <v>10962768</v>
      </c>
      <c r="H74">
        <v>2</v>
      </c>
      <c r="I74" t="s">
        <v>251</v>
      </c>
      <c r="K74" t="s">
        <v>252</v>
      </c>
      <c r="L74">
        <v>1344</v>
      </c>
      <c r="N74">
        <v>1008</v>
      </c>
      <c r="O74" t="s">
        <v>253</v>
      </c>
      <c r="P74" t="s">
        <v>253</v>
      </c>
      <c r="Q74">
        <v>1</v>
      </c>
      <c r="Y74">
        <v>164.6625</v>
      </c>
      <c r="AA74">
        <v>0</v>
      </c>
      <c r="AB74">
        <v>1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131.73</v>
      </c>
      <c r="AU74" t="s">
        <v>31</v>
      </c>
      <c r="AV74">
        <v>0</v>
      </c>
      <c r="AW74">
        <v>2</v>
      </c>
      <c r="AX74">
        <v>16905428</v>
      </c>
      <c r="AY74">
        <v>1</v>
      </c>
      <c r="AZ74">
        <v>0</v>
      </c>
      <c r="BA74">
        <v>79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ROW(Source!A116)</f>
        <v>116</v>
      </c>
      <c r="B75">
        <v>16903935</v>
      </c>
      <c r="C75">
        <v>16905297</v>
      </c>
      <c r="D75">
        <v>11551216</v>
      </c>
      <c r="E75">
        <v>1</v>
      </c>
      <c r="F75">
        <v>1</v>
      </c>
      <c r="G75">
        <v>10962768</v>
      </c>
      <c r="H75">
        <v>2</v>
      </c>
      <c r="I75" t="s">
        <v>302</v>
      </c>
      <c r="J75" t="s">
        <v>303</v>
      </c>
      <c r="K75" t="s">
        <v>304</v>
      </c>
      <c r="L75">
        <v>1368</v>
      </c>
      <c r="N75">
        <v>1011</v>
      </c>
      <c r="O75" t="s">
        <v>258</v>
      </c>
      <c r="P75" t="s">
        <v>258</v>
      </c>
      <c r="Q75">
        <v>1</v>
      </c>
      <c r="Y75">
        <v>258.1375</v>
      </c>
      <c r="AA75">
        <v>0</v>
      </c>
      <c r="AB75">
        <v>6.43</v>
      </c>
      <c r="AC75">
        <v>0.09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206.51</v>
      </c>
      <c r="AU75" t="s">
        <v>31</v>
      </c>
      <c r="AV75">
        <v>0</v>
      </c>
      <c r="AW75">
        <v>2</v>
      </c>
      <c r="AX75">
        <v>16905427</v>
      </c>
      <c r="AY75">
        <v>1</v>
      </c>
      <c r="AZ75">
        <v>0</v>
      </c>
      <c r="BA75">
        <v>80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ROW(Source!A116)</f>
        <v>116</v>
      </c>
      <c r="B76">
        <v>16903935</v>
      </c>
      <c r="C76">
        <v>16905297</v>
      </c>
      <c r="D76">
        <v>11500208</v>
      </c>
      <c r="E76">
        <v>10962768</v>
      </c>
      <c r="F76">
        <v>1</v>
      </c>
      <c r="G76">
        <v>10962768</v>
      </c>
      <c r="H76">
        <v>3</v>
      </c>
      <c r="I76" t="s">
        <v>249</v>
      </c>
      <c r="K76" t="s">
        <v>254</v>
      </c>
      <c r="L76">
        <v>1344</v>
      </c>
      <c r="N76">
        <v>1008</v>
      </c>
      <c r="O76" t="s">
        <v>253</v>
      </c>
      <c r="P76" t="s">
        <v>253</v>
      </c>
      <c r="Q76">
        <v>1</v>
      </c>
      <c r="Y76">
        <v>1623.16</v>
      </c>
      <c r="AA76">
        <v>1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1623.16</v>
      </c>
      <c r="AV76">
        <v>0</v>
      </c>
      <c r="AW76">
        <v>2</v>
      </c>
      <c r="AX76">
        <v>16905432</v>
      </c>
      <c r="AY76">
        <v>1</v>
      </c>
      <c r="AZ76">
        <v>0</v>
      </c>
      <c r="BA76">
        <v>81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ROW(Source!A116)</f>
        <v>116</v>
      </c>
      <c r="B77">
        <v>16903935</v>
      </c>
      <c r="C77">
        <v>16905297</v>
      </c>
      <c r="D77">
        <v>11560799</v>
      </c>
      <c r="E77">
        <v>1</v>
      </c>
      <c r="F77">
        <v>1</v>
      </c>
      <c r="G77">
        <v>10962768</v>
      </c>
      <c r="H77">
        <v>3</v>
      </c>
      <c r="I77" t="s">
        <v>232</v>
      </c>
      <c r="J77" t="s">
        <v>234</v>
      </c>
      <c r="K77" t="s">
        <v>233</v>
      </c>
      <c r="L77">
        <v>1327</v>
      </c>
      <c r="N77">
        <v>1005</v>
      </c>
      <c r="O77" t="s">
        <v>43</v>
      </c>
      <c r="P77" t="s">
        <v>43</v>
      </c>
      <c r="Q77">
        <v>1</v>
      </c>
      <c r="Y77">
        <v>102</v>
      </c>
      <c r="AA77">
        <v>827.18</v>
      </c>
      <c r="AB77">
        <v>0</v>
      </c>
      <c r="AC77">
        <v>0</v>
      </c>
      <c r="AD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T77">
        <v>102</v>
      </c>
      <c r="AV77">
        <v>0</v>
      </c>
      <c r="AW77">
        <v>1</v>
      </c>
      <c r="AX77">
        <v>-1</v>
      </c>
      <c r="AY77">
        <v>0</v>
      </c>
      <c r="AZ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ROW(Source!A116)</f>
        <v>116</v>
      </c>
      <c r="B78">
        <v>16903935</v>
      </c>
      <c r="C78">
        <v>16905297</v>
      </c>
      <c r="D78">
        <v>11555020</v>
      </c>
      <c r="E78">
        <v>1</v>
      </c>
      <c r="F78">
        <v>1</v>
      </c>
      <c r="G78">
        <v>10962768</v>
      </c>
      <c r="H78">
        <v>3</v>
      </c>
      <c r="I78" t="s">
        <v>305</v>
      </c>
      <c r="J78" t="s">
        <v>306</v>
      </c>
      <c r="K78" t="s">
        <v>307</v>
      </c>
      <c r="L78">
        <v>1339</v>
      </c>
      <c r="N78">
        <v>1007</v>
      </c>
      <c r="O78" t="s">
        <v>90</v>
      </c>
      <c r="P78" t="s">
        <v>90</v>
      </c>
      <c r="Q78">
        <v>1</v>
      </c>
      <c r="Y78">
        <v>3.6</v>
      </c>
      <c r="AA78">
        <v>478.96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3.6</v>
      </c>
      <c r="AV78">
        <v>0</v>
      </c>
      <c r="AW78">
        <v>2</v>
      </c>
      <c r="AX78">
        <v>16905429</v>
      </c>
      <c r="AY78">
        <v>1</v>
      </c>
      <c r="AZ78">
        <v>0</v>
      </c>
      <c r="BA78">
        <v>82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ROW(Source!A116)</f>
        <v>116</v>
      </c>
      <c r="B79">
        <v>16903935</v>
      </c>
      <c r="C79">
        <v>16905297</v>
      </c>
      <c r="D79">
        <v>11558549</v>
      </c>
      <c r="E79">
        <v>1</v>
      </c>
      <c r="F79">
        <v>1</v>
      </c>
      <c r="G79">
        <v>10962768</v>
      </c>
      <c r="H79">
        <v>3</v>
      </c>
      <c r="I79" t="s">
        <v>228</v>
      </c>
      <c r="J79" t="s">
        <v>231</v>
      </c>
      <c r="K79" t="s">
        <v>229</v>
      </c>
      <c r="L79">
        <v>1354</v>
      </c>
      <c r="N79">
        <v>1010</v>
      </c>
      <c r="O79" t="s">
        <v>230</v>
      </c>
      <c r="P79" t="s">
        <v>230</v>
      </c>
      <c r="Q79">
        <v>1</v>
      </c>
      <c r="Y79">
        <v>4</v>
      </c>
      <c r="AA79">
        <v>1347.82</v>
      </c>
      <c r="AB79">
        <v>0</v>
      </c>
      <c r="AC79">
        <v>0</v>
      </c>
      <c r="AD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T79">
        <v>4</v>
      </c>
      <c r="AV79">
        <v>0</v>
      </c>
      <c r="AW79">
        <v>1</v>
      </c>
      <c r="AX79">
        <v>-1</v>
      </c>
      <c r="AY79">
        <v>0</v>
      </c>
      <c r="AZ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ROW(Source!A119)</f>
        <v>119</v>
      </c>
      <c r="B80">
        <v>16903935</v>
      </c>
      <c r="C80">
        <v>16905516</v>
      </c>
      <c r="D80">
        <v>11474139</v>
      </c>
      <c r="E80">
        <v>10962768</v>
      </c>
      <c r="F80">
        <v>1</v>
      </c>
      <c r="G80">
        <v>10962768</v>
      </c>
      <c r="H80">
        <v>1</v>
      </c>
      <c r="I80" t="s">
        <v>246</v>
      </c>
      <c r="K80" t="s">
        <v>247</v>
      </c>
      <c r="L80">
        <v>1191</v>
      </c>
      <c r="N80">
        <v>1013</v>
      </c>
      <c r="O80" t="s">
        <v>248</v>
      </c>
      <c r="P80" t="s">
        <v>248</v>
      </c>
      <c r="Q80">
        <v>1</v>
      </c>
      <c r="Y80">
        <v>47.725</v>
      </c>
      <c r="AA80">
        <v>0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41.5</v>
      </c>
      <c r="AU80" t="s">
        <v>32</v>
      </c>
      <c r="AV80">
        <v>1</v>
      </c>
      <c r="AW80">
        <v>2</v>
      </c>
      <c r="AX80">
        <v>16905517</v>
      </c>
      <c r="AY80">
        <v>1</v>
      </c>
      <c r="AZ80">
        <v>0</v>
      </c>
      <c r="BA80">
        <v>85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ROW(Source!A119)</f>
        <v>119</v>
      </c>
      <c r="B81">
        <v>16903935</v>
      </c>
      <c r="C81">
        <v>16905516</v>
      </c>
      <c r="D81">
        <v>11476092</v>
      </c>
      <c r="E81">
        <v>10962768</v>
      </c>
      <c r="F81">
        <v>1</v>
      </c>
      <c r="G81">
        <v>10962768</v>
      </c>
      <c r="H81">
        <v>2</v>
      </c>
      <c r="I81" t="s">
        <v>251</v>
      </c>
      <c r="K81" t="s">
        <v>252</v>
      </c>
      <c r="L81">
        <v>1344</v>
      </c>
      <c r="N81">
        <v>1008</v>
      </c>
      <c r="O81" t="s">
        <v>253</v>
      </c>
      <c r="P81" t="s">
        <v>253</v>
      </c>
      <c r="Q81">
        <v>1</v>
      </c>
      <c r="Y81">
        <v>101.425</v>
      </c>
      <c r="AA81">
        <v>0</v>
      </c>
      <c r="AB81">
        <v>1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81.14</v>
      </c>
      <c r="AU81" t="s">
        <v>31</v>
      </c>
      <c r="AV81">
        <v>0</v>
      </c>
      <c r="AW81">
        <v>2</v>
      </c>
      <c r="AX81">
        <v>16905518</v>
      </c>
      <c r="AY81">
        <v>1</v>
      </c>
      <c r="AZ81">
        <v>0</v>
      </c>
      <c r="BA81">
        <v>86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8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16904612</v>
      </c>
      <c r="C1">
        <v>16904609</v>
      </c>
      <c r="D1">
        <v>11474139</v>
      </c>
      <c r="E1">
        <v>10962768</v>
      </c>
      <c r="F1">
        <v>1</v>
      </c>
      <c r="G1">
        <v>10962768</v>
      </c>
      <c r="H1">
        <v>1</v>
      </c>
      <c r="I1" t="s">
        <v>246</v>
      </c>
      <c r="K1" t="s">
        <v>247</v>
      </c>
      <c r="L1">
        <v>1191</v>
      </c>
      <c r="N1">
        <v>1013</v>
      </c>
      <c r="O1" t="s">
        <v>248</v>
      </c>
      <c r="P1" t="s">
        <v>248</v>
      </c>
      <c r="Q1">
        <v>1</v>
      </c>
      <c r="X1">
        <v>3.77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3.77</v>
      </c>
      <c r="AH1">
        <v>2</v>
      </c>
      <c r="AI1">
        <v>16904610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16904613</v>
      </c>
      <c r="C2">
        <v>16904609</v>
      </c>
      <c r="D2">
        <v>11500203</v>
      </c>
      <c r="E2">
        <v>10962768</v>
      </c>
      <c r="F2">
        <v>1</v>
      </c>
      <c r="G2">
        <v>10962768</v>
      </c>
      <c r="H2">
        <v>3</v>
      </c>
      <c r="I2" t="s">
        <v>249</v>
      </c>
      <c r="K2" t="s">
        <v>250</v>
      </c>
      <c r="L2">
        <v>1348</v>
      </c>
      <c r="N2">
        <v>1009</v>
      </c>
      <c r="O2" t="s">
        <v>48</v>
      </c>
      <c r="P2" t="s">
        <v>48</v>
      </c>
      <c r="Q2">
        <v>1000</v>
      </c>
      <c r="X2">
        <v>0.11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G2">
        <v>0.11</v>
      </c>
      <c r="AH2">
        <v>2</v>
      </c>
      <c r="AI2">
        <v>16904611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16904617</v>
      </c>
      <c r="C3">
        <v>16904614</v>
      </c>
      <c r="D3">
        <v>11474139</v>
      </c>
      <c r="E3">
        <v>10962768</v>
      </c>
      <c r="F3">
        <v>1</v>
      </c>
      <c r="G3">
        <v>10962768</v>
      </c>
      <c r="H3">
        <v>1</v>
      </c>
      <c r="I3" t="s">
        <v>246</v>
      </c>
      <c r="K3" t="s">
        <v>247</v>
      </c>
      <c r="L3">
        <v>1191</v>
      </c>
      <c r="N3">
        <v>1013</v>
      </c>
      <c r="O3" t="s">
        <v>248</v>
      </c>
      <c r="P3" t="s">
        <v>248</v>
      </c>
      <c r="Q3">
        <v>1</v>
      </c>
      <c r="X3">
        <v>11.39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1</v>
      </c>
      <c r="AF3" t="s">
        <v>32</v>
      </c>
      <c r="AG3">
        <v>13.0985</v>
      </c>
      <c r="AH3">
        <v>2</v>
      </c>
      <c r="AI3">
        <v>16904615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16904618</v>
      </c>
      <c r="C4">
        <v>16904614</v>
      </c>
      <c r="D4">
        <v>11500203</v>
      </c>
      <c r="E4">
        <v>10962768</v>
      </c>
      <c r="F4">
        <v>1</v>
      </c>
      <c r="G4">
        <v>10962768</v>
      </c>
      <c r="H4">
        <v>3</v>
      </c>
      <c r="I4" t="s">
        <v>249</v>
      </c>
      <c r="K4" t="s">
        <v>250</v>
      </c>
      <c r="L4">
        <v>1348</v>
      </c>
      <c r="N4">
        <v>1009</v>
      </c>
      <c r="O4" t="s">
        <v>48</v>
      </c>
      <c r="P4" t="s">
        <v>48</v>
      </c>
      <c r="Q4">
        <v>1000</v>
      </c>
      <c r="X4">
        <v>0.47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0.47</v>
      </c>
      <c r="AH4">
        <v>2</v>
      </c>
      <c r="AI4">
        <v>16904616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16904623</v>
      </c>
      <c r="C5">
        <v>16904619</v>
      </c>
      <c r="D5">
        <v>11474139</v>
      </c>
      <c r="E5">
        <v>10962768</v>
      </c>
      <c r="F5">
        <v>1</v>
      </c>
      <c r="G5">
        <v>10962768</v>
      </c>
      <c r="H5">
        <v>1</v>
      </c>
      <c r="I5" t="s">
        <v>246</v>
      </c>
      <c r="K5" t="s">
        <v>247</v>
      </c>
      <c r="L5">
        <v>1191</v>
      </c>
      <c r="N5">
        <v>1013</v>
      </c>
      <c r="O5" t="s">
        <v>248</v>
      </c>
      <c r="P5" t="s">
        <v>248</v>
      </c>
      <c r="Q5">
        <v>1</v>
      </c>
      <c r="X5">
        <v>38.2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32</v>
      </c>
      <c r="AG5">
        <v>43.93</v>
      </c>
      <c r="AH5">
        <v>2</v>
      </c>
      <c r="AI5">
        <v>16904620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16904624</v>
      </c>
      <c r="C6">
        <v>16904619</v>
      </c>
      <c r="D6">
        <v>11476092</v>
      </c>
      <c r="E6">
        <v>10962768</v>
      </c>
      <c r="F6">
        <v>1</v>
      </c>
      <c r="G6">
        <v>10962768</v>
      </c>
      <c r="H6">
        <v>2</v>
      </c>
      <c r="I6" t="s">
        <v>251</v>
      </c>
      <c r="K6" t="s">
        <v>252</v>
      </c>
      <c r="L6">
        <v>1344</v>
      </c>
      <c r="N6">
        <v>1008</v>
      </c>
      <c r="O6" t="s">
        <v>253</v>
      </c>
      <c r="P6" t="s">
        <v>253</v>
      </c>
      <c r="Q6">
        <v>1</v>
      </c>
      <c r="X6">
        <v>64.02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31</v>
      </c>
      <c r="AG6">
        <v>80.025</v>
      </c>
      <c r="AH6">
        <v>2</v>
      </c>
      <c r="AI6">
        <v>16904621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16904627</v>
      </c>
      <c r="C7">
        <v>16904619</v>
      </c>
      <c r="D7">
        <v>11500208</v>
      </c>
      <c r="E7">
        <v>10962768</v>
      </c>
      <c r="F7">
        <v>1</v>
      </c>
      <c r="G7">
        <v>10962768</v>
      </c>
      <c r="H7">
        <v>3</v>
      </c>
      <c r="I7" t="s">
        <v>249</v>
      </c>
      <c r="K7" t="s">
        <v>254</v>
      </c>
      <c r="L7">
        <v>1344</v>
      </c>
      <c r="N7">
        <v>1008</v>
      </c>
      <c r="O7" t="s">
        <v>253</v>
      </c>
      <c r="P7" t="s">
        <v>253</v>
      </c>
      <c r="Q7">
        <v>1</v>
      </c>
      <c r="X7">
        <v>0.98</v>
      </c>
      <c r="Y7">
        <v>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0.98</v>
      </c>
      <c r="AH7">
        <v>2</v>
      </c>
      <c r="AI7">
        <v>16904622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16904625</v>
      </c>
      <c r="C8">
        <v>16904619</v>
      </c>
      <c r="D8">
        <v>11480642</v>
      </c>
      <c r="E8">
        <v>10962768</v>
      </c>
      <c r="F8">
        <v>1</v>
      </c>
      <c r="G8">
        <v>10962768</v>
      </c>
      <c r="H8">
        <v>3</v>
      </c>
      <c r="I8" t="s">
        <v>308</v>
      </c>
      <c r="K8" t="s">
        <v>309</v>
      </c>
      <c r="L8">
        <v>1348</v>
      </c>
      <c r="N8">
        <v>1009</v>
      </c>
      <c r="O8" t="s">
        <v>48</v>
      </c>
      <c r="P8" t="s">
        <v>48</v>
      </c>
      <c r="Q8">
        <v>1000</v>
      </c>
      <c r="X8">
        <v>0.05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0.05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16904626</v>
      </c>
      <c r="C9">
        <v>16904619</v>
      </c>
      <c r="D9">
        <v>11496787</v>
      </c>
      <c r="E9">
        <v>10962768</v>
      </c>
      <c r="F9">
        <v>1</v>
      </c>
      <c r="G9">
        <v>10962768</v>
      </c>
      <c r="H9">
        <v>3</v>
      </c>
      <c r="I9" t="s">
        <v>310</v>
      </c>
      <c r="K9" t="s">
        <v>311</v>
      </c>
      <c r="L9">
        <v>1327</v>
      </c>
      <c r="N9">
        <v>1005</v>
      </c>
      <c r="O9" t="s">
        <v>43</v>
      </c>
      <c r="P9" t="s">
        <v>43</v>
      </c>
      <c r="Q9">
        <v>1</v>
      </c>
      <c r="X9">
        <v>107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G9">
        <v>107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ROW(Source!A33)</f>
        <v>33</v>
      </c>
      <c r="B10">
        <v>16904639</v>
      </c>
      <c r="C10">
        <v>16904632</v>
      </c>
      <c r="D10">
        <v>11474139</v>
      </c>
      <c r="E10">
        <v>10962768</v>
      </c>
      <c r="F10">
        <v>1</v>
      </c>
      <c r="G10">
        <v>10962768</v>
      </c>
      <c r="H10">
        <v>1</v>
      </c>
      <c r="I10" t="s">
        <v>246</v>
      </c>
      <c r="K10" t="s">
        <v>247</v>
      </c>
      <c r="L10">
        <v>1191</v>
      </c>
      <c r="N10">
        <v>1013</v>
      </c>
      <c r="O10" t="s">
        <v>248</v>
      </c>
      <c r="P10" t="s">
        <v>248</v>
      </c>
      <c r="Q10">
        <v>1</v>
      </c>
      <c r="X10">
        <v>12.65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 t="s">
        <v>32</v>
      </c>
      <c r="AG10">
        <v>14.5475</v>
      </c>
      <c r="AH10">
        <v>2</v>
      </c>
      <c r="AI10">
        <v>16904633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ROW(Source!A33)</f>
        <v>33</v>
      </c>
      <c r="B11">
        <v>16904642</v>
      </c>
      <c r="C11">
        <v>16904632</v>
      </c>
      <c r="D11">
        <v>11476092</v>
      </c>
      <c r="E11">
        <v>10962768</v>
      </c>
      <c r="F11">
        <v>1</v>
      </c>
      <c r="G11">
        <v>10962768</v>
      </c>
      <c r="H11">
        <v>2</v>
      </c>
      <c r="I11" t="s">
        <v>251</v>
      </c>
      <c r="K11" t="s">
        <v>252</v>
      </c>
      <c r="L11">
        <v>1344</v>
      </c>
      <c r="N11">
        <v>1008</v>
      </c>
      <c r="O11" t="s">
        <v>253</v>
      </c>
      <c r="P11" t="s">
        <v>253</v>
      </c>
      <c r="Q11">
        <v>1</v>
      </c>
      <c r="X11">
        <v>1.25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31</v>
      </c>
      <c r="AG11">
        <v>1.5625</v>
      </c>
      <c r="AH11">
        <v>2</v>
      </c>
      <c r="AI11">
        <v>16904636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ROW(Source!A33)</f>
        <v>33</v>
      </c>
      <c r="B12">
        <v>16904640</v>
      </c>
      <c r="C12">
        <v>16904632</v>
      </c>
      <c r="D12">
        <v>11551225</v>
      </c>
      <c r="E12">
        <v>1</v>
      </c>
      <c r="F12">
        <v>1</v>
      </c>
      <c r="G12">
        <v>10962768</v>
      </c>
      <c r="H12">
        <v>2</v>
      </c>
      <c r="I12" t="s">
        <v>255</v>
      </c>
      <c r="J12" t="s">
        <v>256</v>
      </c>
      <c r="K12" t="s">
        <v>257</v>
      </c>
      <c r="L12">
        <v>1368</v>
      </c>
      <c r="N12">
        <v>1011</v>
      </c>
      <c r="O12" t="s">
        <v>258</v>
      </c>
      <c r="P12" t="s">
        <v>258</v>
      </c>
      <c r="Q12">
        <v>1</v>
      </c>
      <c r="X12">
        <v>6.12</v>
      </c>
      <c r="Y12">
        <v>0</v>
      </c>
      <c r="Z12">
        <v>0.64</v>
      </c>
      <c r="AA12">
        <v>0.04</v>
      </c>
      <c r="AB12">
        <v>0</v>
      </c>
      <c r="AC12">
        <v>0</v>
      </c>
      <c r="AD12">
        <v>1</v>
      </c>
      <c r="AE12">
        <v>0</v>
      </c>
      <c r="AF12" t="s">
        <v>31</v>
      </c>
      <c r="AG12">
        <v>7.65</v>
      </c>
      <c r="AH12">
        <v>2</v>
      </c>
      <c r="AI12">
        <v>16904634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ROW(Source!A33)</f>
        <v>33</v>
      </c>
      <c r="B13">
        <v>16904641</v>
      </c>
      <c r="C13">
        <v>16904632</v>
      </c>
      <c r="D13">
        <v>11551179</v>
      </c>
      <c r="E13">
        <v>1</v>
      </c>
      <c r="F13">
        <v>1</v>
      </c>
      <c r="G13">
        <v>10962768</v>
      </c>
      <c r="H13">
        <v>2</v>
      </c>
      <c r="I13" t="s">
        <v>259</v>
      </c>
      <c r="J13" t="s">
        <v>260</v>
      </c>
      <c r="K13" t="s">
        <v>261</v>
      </c>
      <c r="L13">
        <v>1368</v>
      </c>
      <c r="N13">
        <v>1011</v>
      </c>
      <c r="O13" t="s">
        <v>258</v>
      </c>
      <c r="P13" t="s">
        <v>258</v>
      </c>
      <c r="Q13">
        <v>1</v>
      </c>
      <c r="X13">
        <v>2.3</v>
      </c>
      <c r="Y13">
        <v>0</v>
      </c>
      <c r="Z13">
        <v>2.36</v>
      </c>
      <c r="AA13">
        <v>0.1</v>
      </c>
      <c r="AB13">
        <v>0</v>
      </c>
      <c r="AC13">
        <v>0</v>
      </c>
      <c r="AD13">
        <v>1</v>
      </c>
      <c r="AE13">
        <v>0</v>
      </c>
      <c r="AF13" t="s">
        <v>31</v>
      </c>
      <c r="AG13">
        <v>2.875</v>
      </c>
      <c r="AH13">
        <v>2</v>
      </c>
      <c r="AI13">
        <v>16904635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ROW(Source!A33)</f>
        <v>33</v>
      </c>
      <c r="B14">
        <v>16904643</v>
      </c>
      <c r="C14">
        <v>16904632</v>
      </c>
      <c r="D14">
        <v>15378756</v>
      </c>
      <c r="E14">
        <v>1</v>
      </c>
      <c r="F14">
        <v>1</v>
      </c>
      <c r="G14">
        <v>10962768</v>
      </c>
      <c r="H14">
        <v>3</v>
      </c>
      <c r="I14" t="s">
        <v>262</v>
      </c>
      <c r="J14" t="s">
        <v>263</v>
      </c>
      <c r="K14" t="s">
        <v>264</v>
      </c>
      <c r="L14">
        <v>1354</v>
      </c>
      <c r="N14">
        <v>1010</v>
      </c>
      <c r="O14" t="s">
        <v>230</v>
      </c>
      <c r="P14" t="s">
        <v>230</v>
      </c>
      <c r="Q14">
        <v>1</v>
      </c>
      <c r="X14">
        <v>168.34</v>
      </c>
      <c r="Y14">
        <v>0.89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168.34</v>
      </c>
      <c r="AH14">
        <v>2</v>
      </c>
      <c r="AI14">
        <v>16904637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ROW(Source!A33)</f>
        <v>33</v>
      </c>
      <c r="B15">
        <v>16904644</v>
      </c>
      <c r="C15">
        <v>16904632</v>
      </c>
      <c r="D15">
        <v>15380862</v>
      </c>
      <c r="E15">
        <v>1</v>
      </c>
      <c r="F15">
        <v>1</v>
      </c>
      <c r="G15">
        <v>10962768</v>
      </c>
      <c r="H15">
        <v>3</v>
      </c>
      <c r="I15" t="s">
        <v>265</v>
      </c>
      <c r="J15" t="s">
        <v>266</v>
      </c>
      <c r="K15" t="s">
        <v>267</v>
      </c>
      <c r="L15">
        <v>1348</v>
      </c>
      <c r="N15">
        <v>1009</v>
      </c>
      <c r="O15" t="s">
        <v>48</v>
      </c>
      <c r="P15" t="s">
        <v>48</v>
      </c>
      <c r="Q15">
        <v>1000</v>
      </c>
      <c r="X15">
        <v>0.00042</v>
      </c>
      <c r="Y15">
        <v>58472.21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0.00042</v>
      </c>
      <c r="AH15">
        <v>2</v>
      </c>
      <c r="AI15">
        <v>16904638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16904645</v>
      </c>
      <c r="C16">
        <v>16904632</v>
      </c>
      <c r="D16">
        <v>11494074</v>
      </c>
      <c r="E16">
        <v>10962768</v>
      </c>
      <c r="F16">
        <v>1</v>
      </c>
      <c r="G16">
        <v>10962768</v>
      </c>
      <c r="H16">
        <v>3</v>
      </c>
      <c r="I16" t="s">
        <v>312</v>
      </c>
      <c r="K16" t="s">
        <v>313</v>
      </c>
      <c r="L16">
        <v>1301</v>
      </c>
      <c r="N16">
        <v>1003</v>
      </c>
      <c r="O16" t="s">
        <v>57</v>
      </c>
      <c r="P16" t="s">
        <v>57</v>
      </c>
      <c r="Q16">
        <v>1</v>
      </c>
      <c r="X16">
        <v>105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G16">
        <v>105</v>
      </c>
      <c r="AH16">
        <v>3</v>
      </c>
      <c r="AI16">
        <v>-1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ROW(Source!A35)</f>
        <v>35</v>
      </c>
      <c r="B17">
        <v>16904651</v>
      </c>
      <c r="C17">
        <v>16904648</v>
      </c>
      <c r="D17">
        <v>11474139</v>
      </c>
      <c r="E17">
        <v>10962768</v>
      </c>
      <c r="F17">
        <v>1</v>
      </c>
      <c r="G17">
        <v>10962768</v>
      </c>
      <c r="H17">
        <v>1</v>
      </c>
      <c r="I17" t="s">
        <v>246</v>
      </c>
      <c r="K17" t="s">
        <v>247</v>
      </c>
      <c r="L17">
        <v>1191</v>
      </c>
      <c r="N17">
        <v>1013</v>
      </c>
      <c r="O17" t="s">
        <v>248</v>
      </c>
      <c r="P17" t="s">
        <v>248</v>
      </c>
      <c r="Q17">
        <v>1</v>
      </c>
      <c r="X17">
        <v>58.6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G17">
        <v>58.6</v>
      </c>
      <c r="AH17">
        <v>2</v>
      </c>
      <c r="AI17">
        <v>16904649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ROW(Source!A35)</f>
        <v>35</v>
      </c>
      <c r="B18">
        <v>16904652</v>
      </c>
      <c r="C18">
        <v>16904648</v>
      </c>
      <c r="D18">
        <v>11476092</v>
      </c>
      <c r="E18">
        <v>10962768</v>
      </c>
      <c r="F18">
        <v>1</v>
      </c>
      <c r="G18">
        <v>10962768</v>
      </c>
      <c r="H18">
        <v>2</v>
      </c>
      <c r="I18" t="s">
        <v>251</v>
      </c>
      <c r="K18" t="s">
        <v>252</v>
      </c>
      <c r="L18">
        <v>1344</v>
      </c>
      <c r="N18">
        <v>1008</v>
      </c>
      <c r="O18" t="s">
        <v>253</v>
      </c>
      <c r="P18" t="s">
        <v>253</v>
      </c>
      <c r="Q18">
        <v>1</v>
      </c>
      <c r="X18">
        <v>2.5</v>
      </c>
      <c r="Y18">
        <v>0</v>
      </c>
      <c r="Z18">
        <v>1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2.5</v>
      </c>
      <c r="AH18">
        <v>2</v>
      </c>
      <c r="AI18">
        <v>16904650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ROW(Source!A36)</f>
        <v>36</v>
      </c>
      <c r="B19">
        <v>16904662</v>
      </c>
      <c r="C19">
        <v>16904653</v>
      </c>
      <c r="D19">
        <v>11474139</v>
      </c>
      <c r="E19">
        <v>10962768</v>
      </c>
      <c r="F19">
        <v>1</v>
      </c>
      <c r="G19">
        <v>10962768</v>
      </c>
      <c r="H19">
        <v>1</v>
      </c>
      <c r="I19" t="s">
        <v>246</v>
      </c>
      <c r="K19" t="s">
        <v>247</v>
      </c>
      <c r="L19">
        <v>1191</v>
      </c>
      <c r="N19">
        <v>1013</v>
      </c>
      <c r="O19" t="s">
        <v>248</v>
      </c>
      <c r="P19" t="s">
        <v>248</v>
      </c>
      <c r="Q19">
        <v>1</v>
      </c>
      <c r="X19">
        <v>388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F19" t="s">
        <v>32</v>
      </c>
      <c r="AG19">
        <v>446.2</v>
      </c>
      <c r="AH19">
        <v>2</v>
      </c>
      <c r="AI19">
        <v>16904654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ROW(Source!A36)</f>
        <v>36</v>
      </c>
      <c r="B20">
        <v>16904663</v>
      </c>
      <c r="C20">
        <v>16904653</v>
      </c>
      <c r="D20">
        <v>11476092</v>
      </c>
      <c r="E20">
        <v>10962768</v>
      </c>
      <c r="F20">
        <v>1</v>
      </c>
      <c r="G20">
        <v>10962768</v>
      </c>
      <c r="H20">
        <v>2</v>
      </c>
      <c r="I20" t="s">
        <v>251</v>
      </c>
      <c r="K20" t="s">
        <v>252</v>
      </c>
      <c r="L20">
        <v>1344</v>
      </c>
      <c r="N20">
        <v>1008</v>
      </c>
      <c r="O20" t="s">
        <v>253</v>
      </c>
      <c r="P20" t="s">
        <v>253</v>
      </c>
      <c r="Q20">
        <v>1</v>
      </c>
      <c r="X20">
        <v>74.2</v>
      </c>
      <c r="Y20">
        <v>0</v>
      </c>
      <c r="Z20">
        <v>1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31</v>
      </c>
      <c r="AG20">
        <v>92.75</v>
      </c>
      <c r="AH20">
        <v>2</v>
      </c>
      <c r="AI20">
        <v>16904655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ROW(Source!A36)</f>
        <v>36</v>
      </c>
      <c r="B21">
        <v>16904664</v>
      </c>
      <c r="C21">
        <v>16904653</v>
      </c>
      <c r="D21">
        <v>15379465</v>
      </c>
      <c r="E21">
        <v>1</v>
      </c>
      <c r="F21">
        <v>1</v>
      </c>
      <c r="G21">
        <v>10962768</v>
      </c>
      <c r="H21">
        <v>3</v>
      </c>
      <c r="I21" t="s">
        <v>268</v>
      </c>
      <c r="J21" t="s">
        <v>269</v>
      </c>
      <c r="K21" t="s">
        <v>270</v>
      </c>
      <c r="L21">
        <v>1348</v>
      </c>
      <c r="N21">
        <v>1009</v>
      </c>
      <c r="O21" t="s">
        <v>48</v>
      </c>
      <c r="P21" t="s">
        <v>48</v>
      </c>
      <c r="Q21">
        <v>1000</v>
      </c>
      <c r="X21">
        <v>0.01005</v>
      </c>
      <c r="Y21">
        <v>23120.53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0.01005</v>
      </c>
      <c r="AH21">
        <v>2</v>
      </c>
      <c r="AI21">
        <v>16904656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ROW(Source!A36)</f>
        <v>36</v>
      </c>
      <c r="B22">
        <v>16904665</v>
      </c>
      <c r="C22">
        <v>16904653</v>
      </c>
      <c r="D22">
        <v>15379547</v>
      </c>
      <c r="E22">
        <v>1</v>
      </c>
      <c r="F22">
        <v>1</v>
      </c>
      <c r="G22">
        <v>10962768</v>
      </c>
      <c r="H22">
        <v>3</v>
      </c>
      <c r="I22" t="s">
        <v>271</v>
      </c>
      <c r="J22" t="s">
        <v>272</v>
      </c>
      <c r="K22" t="s">
        <v>273</v>
      </c>
      <c r="L22">
        <v>1348</v>
      </c>
      <c r="N22">
        <v>1009</v>
      </c>
      <c r="O22" t="s">
        <v>48</v>
      </c>
      <c r="P22" t="s">
        <v>48</v>
      </c>
      <c r="Q22">
        <v>1000</v>
      </c>
      <c r="X22">
        <v>0.00548</v>
      </c>
      <c r="Y22">
        <v>7254.88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0.00548</v>
      </c>
      <c r="AH22">
        <v>2</v>
      </c>
      <c r="AI22">
        <v>16904657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ROW(Source!A36)</f>
        <v>36</v>
      </c>
      <c r="B23">
        <v>16904669</v>
      </c>
      <c r="C23">
        <v>16904653</v>
      </c>
      <c r="D23">
        <v>11488169</v>
      </c>
      <c r="E23">
        <v>10962768</v>
      </c>
      <c r="F23">
        <v>1</v>
      </c>
      <c r="G23">
        <v>10962768</v>
      </c>
      <c r="H23">
        <v>3</v>
      </c>
      <c r="I23" t="s">
        <v>274</v>
      </c>
      <c r="K23" t="s">
        <v>275</v>
      </c>
      <c r="L23">
        <v>1348</v>
      </c>
      <c r="N23">
        <v>1009</v>
      </c>
      <c r="O23" t="s">
        <v>48</v>
      </c>
      <c r="P23" t="s">
        <v>48</v>
      </c>
      <c r="Q23">
        <v>1000</v>
      </c>
      <c r="X23">
        <v>0.0112</v>
      </c>
      <c r="Y23">
        <v>63880.0011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0.0112</v>
      </c>
      <c r="AH23">
        <v>2</v>
      </c>
      <c r="AI23">
        <v>16904661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ROW(Source!A36)</f>
        <v>36</v>
      </c>
      <c r="B24">
        <v>16904666</v>
      </c>
      <c r="C24">
        <v>16904653</v>
      </c>
      <c r="D24">
        <v>15378699</v>
      </c>
      <c r="E24">
        <v>1</v>
      </c>
      <c r="F24">
        <v>1</v>
      </c>
      <c r="G24">
        <v>10962768</v>
      </c>
      <c r="H24">
        <v>3</v>
      </c>
      <c r="I24" t="s">
        <v>276</v>
      </c>
      <c r="J24" t="s">
        <v>277</v>
      </c>
      <c r="K24" t="s">
        <v>278</v>
      </c>
      <c r="L24">
        <v>1348</v>
      </c>
      <c r="N24">
        <v>1009</v>
      </c>
      <c r="O24" t="s">
        <v>48</v>
      </c>
      <c r="P24" t="s">
        <v>48</v>
      </c>
      <c r="Q24">
        <v>1000</v>
      </c>
      <c r="X24">
        <v>0.01</v>
      </c>
      <c r="Y24">
        <v>39052.85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0.01</v>
      </c>
      <c r="AH24">
        <v>2</v>
      </c>
      <c r="AI24">
        <v>16904658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ROW(Source!A36)</f>
        <v>36</v>
      </c>
      <c r="B25">
        <v>16904667</v>
      </c>
      <c r="C25">
        <v>16904653</v>
      </c>
      <c r="D25">
        <v>15378755</v>
      </c>
      <c r="E25">
        <v>1</v>
      </c>
      <c r="F25">
        <v>1</v>
      </c>
      <c r="G25">
        <v>10962768</v>
      </c>
      <c r="H25">
        <v>3</v>
      </c>
      <c r="I25" t="s">
        <v>279</v>
      </c>
      <c r="J25" t="s">
        <v>280</v>
      </c>
      <c r="K25" t="s">
        <v>281</v>
      </c>
      <c r="L25">
        <v>1354</v>
      </c>
      <c r="N25">
        <v>1010</v>
      </c>
      <c r="O25" t="s">
        <v>230</v>
      </c>
      <c r="P25" t="s">
        <v>230</v>
      </c>
      <c r="Q25">
        <v>1</v>
      </c>
      <c r="X25">
        <v>260</v>
      </c>
      <c r="Y25">
        <v>3.86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260</v>
      </c>
      <c r="AH25">
        <v>2</v>
      </c>
      <c r="AI25">
        <v>16904659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ROW(Source!A36)</f>
        <v>36</v>
      </c>
      <c r="B26">
        <v>16904668</v>
      </c>
      <c r="C26">
        <v>16904653</v>
      </c>
      <c r="D26">
        <v>11480813</v>
      </c>
      <c r="E26">
        <v>10962768</v>
      </c>
      <c r="F26">
        <v>1</v>
      </c>
      <c r="G26">
        <v>10962768</v>
      </c>
      <c r="H26">
        <v>3</v>
      </c>
      <c r="I26" t="s">
        <v>282</v>
      </c>
      <c r="K26" t="s">
        <v>283</v>
      </c>
      <c r="L26">
        <v>1346</v>
      </c>
      <c r="N26">
        <v>1009</v>
      </c>
      <c r="O26" t="s">
        <v>106</v>
      </c>
      <c r="P26" t="s">
        <v>106</v>
      </c>
      <c r="Q26">
        <v>1</v>
      </c>
      <c r="X26">
        <v>20.4</v>
      </c>
      <c r="Y26">
        <v>11.3736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20.4</v>
      </c>
      <c r="AH26">
        <v>2</v>
      </c>
      <c r="AI26">
        <v>16904660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ROW(Source!A36)</f>
        <v>36</v>
      </c>
      <c r="B27">
        <v>16904670</v>
      </c>
      <c r="C27">
        <v>16904653</v>
      </c>
      <c r="D27">
        <v>11492515</v>
      </c>
      <c r="E27">
        <v>10962768</v>
      </c>
      <c r="F27">
        <v>1</v>
      </c>
      <c r="G27">
        <v>10962768</v>
      </c>
      <c r="H27">
        <v>3</v>
      </c>
      <c r="I27" t="s">
        <v>314</v>
      </c>
      <c r="K27" t="s">
        <v>315</v>
      </c>
      <c r="L27">
        <v>1348</v>
      </c>
      <c r="N27">
        <v>1009</v>
      </c>
      <c r="O27" t="s">
        <v>48</v>
      </c>
      <c r="P27" t="s">
        <v>48</v>
      </c>
      <c r="Q27">
        <v>1000</v>
      </c>
      <c r="X27">
        <v>0.079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G27">
        <v>0.079</v>
      </c>
      <c r="AH27">
        <v>3</v>
      </c>
      <c r="AI27">
        <v>-1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ROW(Source!A36)</f>
        <v>36</v>
      </c>
      <c r="B28">
        <v>16904671</v>
      </c>
      <c r="C28">
        <v>16904653</v>
      </c>
      <c r="D28">
        <v>11492515</v>
      </c>
      <c r="E28">
        <v>10962768</v>
      </c>
      <c r="F28">
        <v>1</v>
      </c>
      <c r="G28">
        <v>10962768</v>
      </c>
      <c r="H28">
        <v>3</v>
      </c>
      <c r="I28" t="s">
        <v>314</v>
      </c>
      <c r="K28" t="s">
        <v>316</v>
      </c>
      <c r="L28">
        <v>1348</v>
      </c>
      <c r="N28">
        <v>1009</v>
      </c>
      <c r="O28" t="s">
        <v>48</v>
      </c>
      <c r="P28" t="s">
        <v>48</v>
      </c>
      <c r="Q28">
        <v>1000</v>
      </c>
      <c r="X28">
        <v>0.241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0.241</v>
      </c>
      <c r="AH28">
        <v>3</v>
      </c>
      <c r="AI28">
        <v>-1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ROW(Source!A36)</f>
        <v>36</v>
      </c>
      <c r="B29">
        <v>16904672</v>
      </c>
      <c r="C29">
        <v>16904653</v>
      </c>
      <c r="D29">
        <v>11492515</v>
      </c>
      <c r="E29">
        <v>10962768</v>
      </c>
      <c r="F29">
        <v>1</v>
      </c>
      <c r="G29">
        <v>10962768</v>
      </c>
      <c r="H29">
        <v>3</v>
      </c>
      <c r="I29" t="s">
        <v>314</v>
      </c>
      <c r="K29" t="s">
        <v>317</v>
      </c>
      <c r="L29">
        <v>1348</v>
      </c>
      <c r="N29">
        <v>1009</v>
      </c>
      <c r="O29" t="s">
        <v>48</v>
      </c>
      <c r="P29" t="s">
        <v>48</v>
      </c>
      <c r="Q29">
        <v>1000</v>
      </c>
      <c r="X29">
        <v>0.019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G29">
        <v>0.019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ROW(Source!A36)</f>
        <v>36</v>
      </c>
      <c r="B30">
        <v>16904673</v>
      </c>
      <c r="C30">
        <v>16904653</v>
      </c>
      <c r="D30">
        <v>11495688</v>
      </c>
      <c r="E30">
        <v>10962768</v>
      </c>
      <c r="F30">
        <v>1</v>
      </c>
      <c r="G30">
        <v>10962768</v>
      </c>
      <c r="H30">
        <v>3</v>
      </c>
      <c r="I30" t="s">
        <v>318</v>
      </c>
      <c r="K30" t="s">
        <v>85</v>
      </c>
      <c r="L30">
        <v>1327</v>
      </c>
      <c r="N30">
        <v>1005</v>
      </c>
      <c r="O30" t="s">
        <v>43</v>
      </c>
      <c r="P30" t="s">
        <v>43</v>
      </c>
      <c r="Q30">
        <v>1</v>
      </c>
      <c r="X30">
        <v>229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229</v>
      </c>
      <c r="AH30">
        <v>3</v>
      </c>
      <c r="AI30">
        <v>-1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ROW(Source!A36)</f>
        <v>36</v>
      </c>
      <c r="B31">
        <v>16904674</v>
      </c>
      <c r="C31">
        <v>16904653</v>
      </c>
      <c r="D31">
        <v>11496378</v>
      </c>
      <c r="E31">
        <v>10962768</v>
      </c>
      <c r="F31">
        <v>1</v>
      </c>
      <c r="G31">
        <v>10962768</v>
      </c>
      <c r="H31">
        <v>3</v>
      </c>
      <c r="I31" t="s">
        <v>319</v>
      </c>
      <c r="K31" t="s">
        <v>320</v>
      </c>
      <c r="L31">
        <v>1339</v>
      </c>
      <c r="N31">
        <v>1007</v>
      </c>
      <c r="O31" t="s">
        <v>90</v>
      </c>
      <c r="P31" t="s">
        <v>90</v>
      </c>
      <c r="Q31">
        <v>1</v>
      </c>
      <c r="X31">
        <v>5.15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G31">
        <v>5.15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ROW(Source!A42)</f>
        <v>42</v>
      </c>
      <c r="B32">
        <v>16904689</v>
      </c>
      <c r="C32">
        <v>16904685</v>
      </c>
      <c r="D32">
        <v>11474139</v>
      </c>
      <c r="E32">
        <v>10962768</v>
      </c>
      <c r="F32">
        <v>1</v>
      </c>
      <c r="G32">
        <v>10962768</v>
      </c>
      <c r="H32">
        <v>1</v>
      </c>
      <c r="I32" t="s">
        <v>246</v>
      </c>
      <c r="K32" t="s">
        <v>247</v>
      </c>
      <c r="L32">
        <v>1191</v>
      </c>
      <c r="N32">
        <v>1013</v>
      </c>
      <c r="O32" t="s">
        <v>248</v>
      </c>
      <c r="P32" t="s">
        <v>248</v>
      </c>
      <c r="Q32">
        <v>1</v>
      </c>
      <c r="X32">
        <v>66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 t="s">
        <v>32</v>
      </c>
      <c r="AG32">
        <v>75.9</v>
      </c>
      <c r="AH32">
        <v>2</v>
      </c>
      <c r="AI32">
        <v>16904686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ROW(Source!A42)</f>
        <v>42</v>
      </c>
      <c r="B33">
        <v>16904690</v>
      </c>
      <c r="C33">
        <v>16904685</v>
      </c>
      <c r="D33">
        <v>11476092</v>
      </c>
      <c r="E33">
        <v>10962768</v>
      </c>
      <c r="F33">
        <v>1</v>
      </c>
      <c r="G33">
        <v>10962768</v>
      </c>
      <c r="H33">
        <v>2</v>
      </c>
      <c r="I33" t="s">
        <v>251</v>
      </c>
      <c r="K33" t="s">
        <v>252</v>
      </c>
      <c r="L33">
        <v>1344</v>
      </c>
      <c r="N33">
        <v>1008</v>
      </c>
      <c r="O33" t="s">
        <v>253</v>
      </c>
      <c r="P33" t="s">
        <v>253</v>
      </c>
      <c r="Q33">
        <v>1</v>
      </c>
      <c r="X33">
        <v>8.32</v>
      </c>
      <c r="Y33">
        <v>0</v>
      </c>
      <c r="Z33">
        <v>1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31</v>
      </c>
      <c r="AG33">
        <v>10.4</v>
      </c>
      <c r="AH33">
        <v>2</v>
      </c>
      <c r="AI33">
        <v>16904687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ROW(Source!A42)</f>
        <v>42</v>
      </c>
      <c r="B34">
        <v>16904691</v>
      </c>
      <c r="C34">
        <v>16904685</v>
      </c>
      <c r="D34">
        <v>11488169</v>
      </c>
      <c r="E34">
        <v>10962768</v>
      </c>
      <c r="F34">
        <v>1</v>
      </c>
      <c r="G34">
        <v>10962768</v>
      </c>
      <c r="H34">
        <v>3</v>
      </c>
      <c r="I34" t="s">
        <v>274</v>
      </c>
      <c r="K34" t="s">
        <v>275</v>
      </c>
      <c r="L34">
        <v>1348</v>
      </c>
      <c r="N34">
        <v>1009</v>
      </c>
      <c r="O34" t="s">
        <v>48</v>
      </c>
      <c r="P34" t="s">
        <v>48</v>
      </c>
      <c r="Q34">
        <v>1000</v>
      </c>
      <c r="X34">
        <v>0.0045</v>
      </c>
      <c r="Y34">
        <v>63880.0011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0.0045</v>
      </c>
      <c r="AH34">
        <v>2</v>
      </c>
      <c r="AI34">
        <v>16904688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ROW(Source!A42)</f>
        <v>42</v>
      </c>
      <c r="B35">
        <v>16904692</v>
      </c>
      <c r="C35">
        <v>16904685</v>
      </c>
      <c r="D35">
        <v>11495688</v>
      </c>
      <c r="E35">
        <v>10962768</v>
      </c>
      <c r="F35">
        <v>1</v>
      </c>
      <c r="G35">
        <v>10962768</v>
      </c>
      <c r="H35">
        <v>3</v>
      </c>
      <c r="I35" t="s">
        <v>318</v>
      </c>
      <c r="K35" t="s">
        <v>85</v>
      </c>
      <c r="L35">
        <v>1327</v>
      </c>
      <c r="N35">
        <v>1005</v>
      </c>
      <c r="O35" t="s">
        <v>43</v>
      </c>
      <c r="P35" t="s">
        <v>43</v>
      </c>
      <c r="Q35">
        <v>1</v>
      </c>
      <c r="X35">
        <v>121.3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G35">
        <v>121.3</v>
      </c>
      <c r="AH35">
        <v>3</v>
      </c>
      <c r="AI35">
        <v>-1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ROW(Source!A44)</f>
        <v>44</v>
      </c>
      <c r="B36">
        <v>16904698</v>
      </c>
      <c r="C36">
        <v>16904695</v>
      </c>
      <c r="D36">
        <v>11474139</v>
      </c>
      <c r="E36">
        <v>10962768</v>
      </c>
      <c r="F36">
        <v>1</v>
      </c>
      <c r="G36">
        <v>10962768</v>
      </c>
      <c r="H36">
        <v>1</v>
      </c>
      <c r="I36" t="s">
        <v>246</v>
      </c>
      <c r="K36" t="s">
        <v>247</v>
      </c>
      <c r="L36">
        <v>1191</v>
      </c>
      <c r="N36">
        <v>1013</v>
      </c>
      <c r="O36" t="s">
        <v>248</v>
      </c>
      <c r="P36" t="s">
        <v>248</v>
      </c>
      <c r="Q36">
        <v>1</v>
      </c>
      <c r="X36">
        <v>36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1</v>
      </c>
      <c r="AF36" t="s">
        <v>32</v>
      </c>
      <c r="AG36">
        <v>41.4</v>
      </c>
      <c r="AH36">
        <v>2</v>
      </c>
      <c r="AI36">
        <v>16904696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ROW(Source!A44)</f>
        <v>44</v>
      </c>
      <c r="B37">
        <v>16904699</v>
      </c>
      <c r="C37">
        <v>16904695</v>
      </c>
      <c r="D37">
        <v>15379154</v>
      </c>
      <c r="E37">
        <v>1</v>
      </c>
      <c r="F37">
        <v>1</v>
      </c>
      <c r="G37">
        <v>10962768</v>
      </c>
      <c r="H37">
        <v>3</v>
      </c>
      <c r="I37" t="s">
        <v>284</v>
      </c>
      <c r="J37" t="s">
        <v>285</v>
      </c>
      <c r="K37" t="s">
        <v>286</v>
      </c>
      <c r="L37">
        <v>1327</v>
      </c>
      <c r="N37">
        <v>1005</v>
      </c>
      <c r="O37" t="s">
        <v>43</v>
      </c>
      <c r="P37" t="s">
        <v>43</v>
      </c>
      <c r="Q37">
        <v>1</v>
      </c>
      <c r="X37">
        <v>41</v>
      </c>
      <c r="Y37">
        <v>6.32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41</v>
      </c>
      <c r="AH37">
        <v>2</v>
      </c>
      <c r="AI37">
        <v>16904697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ROW(Source!A44)</f>
        <v>44</v>
      </c>
      <c r="B38">
        <v>16904700</v>
      </c>
      <c r="C38">
        <v>16904695</v>
      </c>
      <c r="D38">
        <v>11480314</v>
      </c>
      <c r="E38">
        <v>10962768</v>
      </c>
      <c r="F38">
        <v>1</v>
      </c>
      <c r="G38">
        <v>10962768</v>
      </c>
      <c r="H38">
        <v>3</v>
      </c>
      <c r="I38" t="s">
        <v>321</v>
      </c>
      <c r="K38" t="s">
        <v>322</v>
      </c>
      <c r="L38">
        <v>1348</v>
      </c>
      <c r="N38">
        <v>1009</v>
      </c>
      <c r="O38" t="s">
        <v>48</v>
      </c>
      <c r="P38" t="s">
        <v>48</v>
      </c>
      <c r="Q38">
        <v>1000</v>
      </c>
      <c r="X38">
        <v>0.005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>
        <v>0.005</v>
      </c>
      <c r="AH38">
        <v>3</v>
      </c>
      <c r="AI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ROW(Source!A46)</f>
        <v>46</v>
      </c>
      <c r="B39">
        <v>16904708</v>
      </c>
      <c r="C39">
        <v>16904703</v>
      </c>
      <c r="D39">
        <v>11474139</v>
      </c>
      <c r="E39">
        <v>10962768</v>
      </c>
      <c r="F39">
        <v>1</v>
      </c>
      <c r="G39">
        <v>10962768</v>
      </c>
      <c r="H39">
        <v>1</v>
      </c>
      <c r="I39" t="s">
        <v>246</v>
      </c>
      <c r="K39" t="s">
        <v>247</v>
      </c>
      <c r="L39">
        <v>1191</v>
      </c>
      <c r="N39">
        <v>1013</v>
      </c>
      <c r="O39" t="s">
        <v>248</v>
      </c>
      <c r="P39" t="s">
        <v>248</v>
      </c>
      <c r="Q39">
        <v>1</v>
      </c>
      <c r="X39">
        <v>176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32</v>
      </c>
      <c r="AG39">
        <v>202.4</v>
      </c>
      <c r="AH39">
        <v>2</v>
      </c>
      <c r="AI39">
        <v>16904704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ROW(Source!A46)</f>
        <v>46</v>
      </c>
      <c r="B40">
        <v>16904709</v>
      </c>
      <c r="C40">
        <v>16904703</v>
      </c>
      <c r="D40">
        <v>11476092</v>
      </c>
      <c r="E40">
        <v>10962768</v>
      </c>
      <c r="F40">
        <v>1</v>
      </c>
      <c r="G40">
        <v>10962768</v>
      </c>
      <c r="H40">
        <v>2</v>
      </c>
      <c r="I40" t="s">
        <v>251</v>
      </c>
      <c r="K40" t="s">
        <v>252</v>
      </c>
      <c r="L40">
        <v>1344</v>
      </c>
      <c r="N40">
        <v>1008</v>
      </c>
      <c r="O40" t="s">
        <v>253</v>
      </c>
      <c r="P40" t="s">
        <v>253</v>
      </c>
      <c r="Q40">
        <v>1</v>
      </c>
      <c r="X40">
        <v>19.66</v>
      </c>
      <c r="Y40">
        <v>0</v>
      </c>
      <c r="Z40">
        <v>1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31</v>
      </c>
      <c r="AG40">
        <v>24.575</v>
      </c>
      <c r="AH40">
        <v>2</v>
      </c>
      <c r="AI40">
        <v>16904705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ROW(Source!A46)</f>
        <v>46</v>
      </c>
      <c r="B41">
        <v>16904713</v>
      </c>
      <c r="C41">
        <v>16904703</v>
      </c>
      <c r="D41">
        <v>11500208</v>
      </c>
      <c r="E41">
        <v>10962768</v>
      </c>
      <c r="F41">
        <v>1</v>
      </c>
      <c r="G41">
        <v>10962768</v>
      </c>
      <c r="H41">
        <v>3</v>
      </c>
      <c r="I41" t="s">
        <v>249</v>
      </c>
      <c r="K41" t="s">
        <v>254</v>
      </c>
      <c r="L41">
        <v>1344</v>
      </c>
      <c r="N41">
        <v>1008</v>
      </c>
      <c r="O41" t="s">
        <v>253</v>
      </c>
      <c r="P41" t="s">
        <v>253</v>
      </c>
      <c r="Q41">
        <v>1</v>
      </c>
      <c r="X41">
        <v>0.87</v>
      </c>
      <c r="Y41">
        <v>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0.87</v>
      </c>
      <c r="AH41">
        <v>2</v>
      </c>
      <c r="AI41">
        <v>16904707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ROW(Source!A46)</f>
        <v>46</v>
      </c>
      <c r="B42">
        <v>16904710</v>
      </c>
      <c r="C42">
        <v>16904703</v>
      </c>
      <c r="D42">
        <v>15378584</v>
      </c>
      <c r="E42">
        <v>1</v>
      </c>
      <c r="F42">
        <v>1</v>
      </c>
      <c r="G42">
        <v>10962768</v>
      </c>
      <c r="H42">
        <v>3</v>
      </c>
      <c r="I42" t="s">
        <v>287</v>
      </c>
      <c r="J42" t="s">
        <v>288</v>
      </c>
      <c r="K42" t="s">
        <v>289</v>
      </c>
      <c r="L42">
        <v>1348</v>
      </c>
      <c r="N42">
        <v>1009</v>
      </c>
      <c r="O42" t="s">
        <v>48</v>
      </c>
      <c r="P42" t="s">
        <v>48</v>
      </c>
      <c r="Q42">
        <v>1000</v>
      </c>
      <c r="X42">
        <v>0.00285</v>
      </c>
      <c r="Y42">
        <v>17876.91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0.00285</v>
      </c>
      <c r="AH42">
        <v>2</v>
      </c>
      <c r="AI42">
        <v>16904706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ROW(Source!A46)</f>
        <v>46</v>
      </c>
      <c r="B43">
        <v>16904711</v>
      </c>
      <c r="C43">
        <v>16904703</v>
      </c>
      <c r="D43">
        <v>11491669</v>
      </c>
      <c r="E43">
        <v>10962768</v>
      </c>
      <c r="F43">
        <v>1</v>
      </c>
      <c r="G43">
        <v>10962768</v>
      </c>
      <c r="H43">
        <v>3</v>
      </c>
      <c r="I43" t="s">
        <v>323</v>
      </c>
      <c r="K43" t="s">
        <v>324</v>
      </c>
      <c r="L43">
        <v>1035</v>
      </c>
      <c r="N43">
        <v>1013</v>
      </c>
      <c r="O43" t="s">
        <v>117</v>
      </c>
      <c r="P43" t="s">
        <v>117</v>
      </c>
      <c r="Q43">
        <v>1</v>
      </c>
      <c r="X43">
        <v>100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G43">
        <v>100</v>
      </c>
      <c r="AH43">
        <v>3</v>
      </c>
      <c r="AI43">
        <v>-1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ROW(Source!A46)</f>
        <v>46</v>
      </c>
      <c r="B44">
        <v>16904712</v>
      </c>
      <c r="C44">
        <v>16904703</v>
      </c>
      <c r="D44">
        <v>11496671</v>
      </c>
      <c r="E44">
        <v>10962768</v>
      </c>
      <c r="F44">
        <v>1</v>
      </c>
      <c r="G44">
        <v>10962768</v>
      </c>
      <c r="H44">
        <v>3</v>
      </c>
      <c r="I44" t="s">
        <v>325</v>
      </c>
      <c r="K44" t="s">
        <v>326</v>
      </c>
      <c r="L44">
        <v>1327</v>
      </c>
      <c r="N44">
        <v>1005</v>
      </c>
      <c r="O44" t="s">
        <v>43</v>
      </c>
      <c r="P44" t="s">
        <v>43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G44">
        <v>0</v>
      </c>
      <c r="AH44">
        <v>3</v>
      </c>
      <c r="AI44">
        <v>-1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ROW(Source!A49)</f>
        <v>49</v>
      </c>
      <c r="B45">
        <v>16904720</v>
      </c>
      <c r="C45">
        <v>16904718</v>
      </c>
      <c r="D45">
        <v>11474139</v>
      </c>
      <c r="E45">
        <v>10962768</v>
      </c>
      <c r="F45">
        <v>1</v>
      </c>
      <c r="G45">
        <v>10962768</v>
      </c>
      <c r="H45">
        <v>1</v>
      </c>
      <c r="I45" t="s">
        <v>246</v>
      </c>
      <c r="K45" t="s">
        <v>247</v>
      </c>
      <c r="L45">
        <v>1191</v>
      </c>
      <c r="N45">
        <v>1013</v>
      </c>
      <c r="O45" t="s">
        <v>248</v>
      </c>
      <c r="P45" t="s">
        <v>248</v>
      </c>
      <c r="Q45">
        <v>1</v>
      </c>
      <c r="X45">
        <v>0.6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1</v>
      </c>
      <c r="AG45">
        <v>0.6</v>
      </c>
      <c r="AH45">
        <v>2</v>
      </c>
      <c r="AI45">
        <v>16904719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ROW(Source!A50)</f>
        <v>50</v>
      </c>
      <c r="B46">
        <v>16904725</v>
      </c>
      <c r="C46">
        <v>16904721</v>
      </c>
      <c r="D46">
        <v>11474139</v>
      </c>
      <c r="E46">
        <v>10962768</v>
      </c>
      <c r="F46">
        <v>1</v>
      </c>
      <c r="G46">
        <v>10962768</v>
      </c>
      <c r="H46">
        <v>1</v>
      </c>
      <c r="I46" t="s">
        <v>246</v>
      </c>
      <c r="K46" t="s">
        <v>247</v>
      </c>
      <c r="L46">
        <v>1191</v>
      </c>
      <c r="N46">
        <v>1013</v>
      </c>
      <c r="O46" t="s">
        <v>248</v>
      </c>
      <c r="P46" t="s">
        <v>248</v>
      </c>
      <c r="Q46">
        <v>1</v>
      </c>
      <c r="X46">
        <v>4.65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1</v>
      </c>
      <c r="AF46" t="s">
        <v>32</v>
      </c>
      <c r="AG46">
        <v>5.3475</v>
      </c>
      <c r="AH46">
        <v>2</v>
      </c>
      <c r="AI46">
        <v>16904722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ROW(Source!A50)</f>
        <v>50</v>
      </c>
      <c r="B47">
        <v>16904726</v>
      </c>
      <c r="C47">
        <v>16904721</v>
      </c>
      <c r="D47">
        <v>11551151</v>
      </c>
      <c r="E47">
        <v>1</v>
      </c>
      <c r="F47">
        <v>1</v>
      </c>
      <c r="G47">
        <v>10962768</v>
      </c>
      <c r="H47">
        <v>2</v>
      </c>
      <c r="I47" t="s">
        <v>290</v>
      </c>
      <c r="J47" t="s">
        <v>291</v>
      </c>
      <c r="K47" t="s">
        <v>292</v>
      </c>
      <c r="L47">
        <v>1368</v>
      </c>
      <c r="N47">
        <v>1011</v>
      </c>
      <c r="O47" t="s">
        <v>258</v>
      </c>
      <c r="P47" t="s">
        <v>258</v>
      </c>
      <c r="Q47">
        <v>1</v>
      </c>
      <c r="X47">
        <v>0.01</v>
      </c>
      <c r="Y47">
        <v>0</v>
      </c>
      <c r="Z47">
        <v>74.44</v>
      </c>
      <c r="AA47">
        <v>17.59</v>
      </c>
      <c r="AB47">
        <v>0</v>
      </c>
      <c r="AC47">
        <v>0</v>
      </c>
      <c r="AD47">
        <v>1</v>
      </c>
      <c r="AE47">
        <v>0</v>
      </c>
      <c r="AF47" t="s">
        <v>31</v>
      </c>
      <c r="AG47">
        <v>0.0125</v>
      </c>
      <c r="AH47">
        <v>2</v>
      </c>
      <c r="AI47">
        <v>16904723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ROW(Source!A50)</f>
        <v>50</v>
      </c>
      <c r="B48">
        <v>16904727</v>
      </c>
      <c r="C48">
        <v>16904721</v>
      </c>
      <c r="D48">
        <v>11551256</v>
      </c>
      <c r="E48">
        <v>1</v>
      </c>
      <c r="F48">
        <v>1</v>
      </c>
      <c r="G48">
        <v>10962768</v>
      </c>
      <c r="H48">
        <v>2</v>
      </c>
      <c r="I48" t="s">
        <v>293</v>
      </c>
      <c r="J48" t="s">
        <v>294</v>
      </c>
      <c r="K48" t="s">
        <v>295</v>
      </c>
      <c r="L48">
        <v>1368</v>
      </c>
      <c r="N48">
        <v>1011</v>
      </c>
      <c r="O48" t="s">
        <v>258</v>
      </c>
      <c r="P48" t="s">
        <v>258</v>
      </c>
      <c r="Q48">
        <v>1</v>
      </c>
      <c r="X48">
        <v>0.03</v>
      </c>
      <c r="Y48">
        <v>0</v>
      </c>
      <c r="Z48">
        <v>1.76</v>
      </c>
      <c r="AA48">
        <v>0.01</v>
      </c>
      <c r="AB48">
        <v>0</v>
      </c>
      <c r="AC48">
        <v>0</v>
      </c>
      <c r="AD48">
        <v>1</v>
      </c>
      <c r="AE48">
        <v>0</v>
      </c>
      <c r="AF48" t="s">
        <v>31</v>
      </c>
      <c r="AG48">
        <v>0.0375</v>
      </c>
      <c r="AH48">
        <v>2</v>
      </c>
      <c r="AI48">
        <v>16904724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ROW(Source!A50)</f>
        <v>50</v>
      </c>
      <c r="B49">
        <v>16904728</v>
      </c>
      <c r="C49">
        <v>16904721</v>
      </c>
      <c r="D49">
        <v>15527150</v>
      </c>
      <c r="E49">
        <v>10962768</v>
      </c>
      <c r="F49">
        <v>1</v>
      </c>
      <c r="G49">
        <v>10962768</v>
      </c>
      <c r="H49">
        <v>3</v>
      </c>
      <c r="I49" t="s">
        <v>327</v>
      </c>
      <c r="K49" t="s">
        <v>328</v>
      </c>
      <c r="L49">
        <v>1346</v>
      </c>
      <c r="N49">
        <v>1009</v>
      </c>
      <c r="O49" t="s">
        <v>106</v>
      </c>
      <c r="P49" t="s">
        <v>106</v>
      </c>
      <c r="Q49">
        <v>1</v>
      </c>
      <c r="X49">
        <v>10.3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10.3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ROW(Source!A52)</f>
        <v>52</v>
      </c>
      <c r="B50">
        <v>16904735</v>
      </c>
      <c r="C50">
        <v>16904731</v>
      </c>
      <c r="D50">
        <v>11474139</v>
      </c>
      <c r="E50">
        <v>10962768</v>
      </c>
      <c r="F50">
        <v>1</v>
      </c>
      <c r="G50">
        <v>10962768</v>
      </c>
      <c r="H50">
        <v>1</v>
      </c>
      <c r="I50" t="s">
        <v>246</v>
      </c>
      <c r="K50" t="s">
        <v>247</v>
      </c>
      <c r="L50">
        <v>1191</v>
      </c>
      <c r="N50">
        <v>1013</v>
      </c>
      <c r="O50" t="s">
        <v>248</v>
      </c>
      <c r="P50" t="s">
        <v>248</v>
      </c>
      <c r="Q50">
        <v>1</v>
      </c>
      <c r="X50">
        <v>42.2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1</v>
      </c>
      <c r="AF50" t="s">
        <v>32</v>
      </c>
      <c r="AG50">
        <v>48.53</v>
      </c>
      <c r="AH50">
        <v>2</v>
      </c>
      <c r="AI50">
        <v>16904732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ROW(Source!A52)</f>
        <v>52</v>
      </c>
      <c r="B51">
        <v>16904736</v>
      </c>
      <c r="C51">
        <v>16904731</v>
      </c>
      <c r="D51">
        <v>11476092</v>
      </c>
      <c r="E51">
        <v>10962768</v>
      </c>
      <c r="F51">
        <v>1</v>
      </c>
      <c r="G51">
        <v>10962768</v>
      </c>
      <c r="H51">
        <v>2</v>
      </c>
      <c r="I51" t="s">
        <v>251</v>
      </c>
      <c r="K51" t="s">
        <v>252</v>
      </c>
      <c r="L51">
        <v>1344</v>
      </c>
      <c r="N51">
        <v>1008</v>
      </c>
      <c r="O51" t="s">
        <v>253</v>
      </c>
      <c r="P51" t="s">
        <v>253</v>
      </c>
      <c r="Q51">
        <v>1</v>
      </c>
      <c r="X51">
        <v>29.03</v>
      </c>
      <c r="Y51">
        <v>0</v>
      </c>
      <c r="Z51">
        <v>1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31</v>
      </c>
      <c r="AG51">
        <v>36.2875</v>
      </c>
      <c r="AH51">
        <v>2</v>
      </c>
      <c r="AI51">
        <v>16904733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ROW(Source!A52)</f>
        <v>52</v>
      </c>
      <c r="B52">
        <v>16904740</v>
      </c>
      <c r="C52">
        <v>16904731</v>
      </c>
      <c r="D52">
        <v>11500208</v>
      </c>
      <c r="E52">
        <v>10962768</v>
      </c>
      <c r="F52">
        <v>1</v>
      </c>
      <c r="G52">
        <v>10962768</v>
      </c>
      <c r="H52">
        <v>3</v>
      </c>
      <c r="I52" t="s">
        <v>249</v>
      </c>
      <c r="K52" t="s">
        <v>254</v>
      </c>
      <c r="L52">
        <v>1344</v>
      </c>
      <c r="N52">
        <v>1008</v>
      </c>
      <c r="O52" t="s">
        <v>253</v>
      </c>
      <c r="P52" t="s">
        <v>253</v>
      </c>
      <c r="Q52">
        <v>1</v>
      </c>
      <c r="X52">
        <v>12.18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12.18</v>
      </c>
      <c r="AH52">
        <v>2</v>
      </c>
      <c r="AI52">
        <v>16904734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ROW(Source!A52)</f>
        <v>52</v>
      </c>
      <c r="B53">
        <v>16904737</v>
      </c>
      <c r="C53">
        <v>16904731</v>
      </c>
      <c r="D53">
        <v>11480314</v>
      </c>
      <c r="E53">
        <v>10962768</v>
      </c>
      <c r="F53">
        <v>1</v>
      </c>
      <c r="G53">
        <v>10962768</v>
      </c>
      <c r="H53">
        <v>3</v>
      </c>
      <c r="I53" t="s">
        <v>321</v>
      </c>
      <c r="K53" t="s">
        <v>322</v>
      </c>
      <c r="L53">
        <v>1348</v>
      </c>
      <c r="N53">
        <v>1009</v>
      </c>
      <c r="O53" t="s">
        <v>48</v>
      </c>
      <c r="P53" t="s">
        <v>48</v>
      </c>
      <c r="Q53">
        <v>1000</v>
      </c>
      <c r="X53">
        <v>0.034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G53">
        <v>0.034</v>
      </c>
      <c r="AH53">
        <v>3</v>
      </c>
      <c r="AI53">
        <v>-1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ROW(Source!A52)</f>
        <v>52</v>
      </c>
      <c r="B54">
        <v>16904738</v>
      </c>
      <c r="C54">
        <v>16904731</v>
      </c>
      <c r="D54">
        <v>11480543</v>
      </c>
      <c r="E54">
        <v>10962768</v>
      </c>
      <c r="F54">
        <v>1</v>
      </c>
      <c r="G54">
        <v>10962768</v>
      </c>
      <c r="H54">
        <v>3</v>
      </c>
      <c r="I54" t="s">
        <v>329</v>
      </c>
      <c r="K54" t="s">
        <v>330</v>
      </c>
      <c r="L54">
        <v>1346</v>
      </c>
      <c r="N54">
        <v>1009</v>
      </c>
      <c r="O54" t="s">
        <v>106</v>
      </c>
      <c r="P54" t="s">
        <v>106</v>
      </c>
      <c r="Q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G54">
        <v>0</v>
      </c>
      <c r="AH54">
        <v>3</v>
      </c>
      <c r="AI54">
        <v>-1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ROW(Source!A52)</f>
        <v>52</v>
      </c>
      <c r="B55">
        <v>16904739</v>
      </c>
      <c r="C55">
        <v>16904731</v>
      </c>
      <c r="D55">
        <v>11480660</v>
      </c>
      <c r="E55">
        <v>10962768</v>
      </c>
      <c r="F55">
        <v>1</v>
      </c>
      <c r="G55">
        <v>10962768</v>
      </c>
      <c r="H55">
        <v>3</v>
      </c>
      <c r="I55" t="s">
        <v>331</v>
      </c>
      <c r="K55" t="s">
        <v>332</v>
      </c>
      <c r="L55">
        <v>1348</v>
      </c>
      <c r="N55">
        <v>1009</v>
      </c>
      <c r="O55" t="s">
        <v>48</v>
      </c>
      <c r="P55" t="s">
        <v>48</v>
      </c>
      <c r="Q55">
        <v>1000</v>
      </c>
      <c r="X55">
        <v>0.063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G55">
        <v>0.063</v>
      </c>
      <c r="AH55">
        <v>3</v>
      </c>
      <c r="AI55">
        <v>-1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ROW(Source!A81)</f>
        <v>81</v>
      </c>
      <c r="B56">
        <v>16904775</v>
      </c>
      <c r="C56">
        <v>16904774</v>
      </c>
      <c r="D56">
        <v>11474139</v>
      </c>
      <c r="E56">
        <v>10962768</v>
      </c>
      <c r="F56">
        <v>1</v>
      </c>
      <c r="G56">
        <v>10962768</v>
      </c>
      <c r="H56">
        <v>1</v>
      </c>
      <c r="I56" t="s">
        <v>246</v>
      </c>
      <c r="K56" t="s">
        <v>247</v>
      </c>
      <c r="L56">
        <v>1191</v>
      </c>
      <c r="N56">
        <v>1013</v>
      </c>
      <c r="O56" t="s">
        <v>248</v>
      </c>
      <c r="P56" t="s">
        <v>248</v>
      </c>
      <c r="Q56">
        <v>1</v>
      </c>
      <c r="X56">
        <v>49.1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G56">
        <v>49.1</v>
      </c>
      <c r="AH56">
        <v>2</v>
      </c>
      <c r="AI56">
        <v>16904775</v>
      </c>
      <c r="AJ56">
        <v>55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ROW(Source!A81)</f>
        <v>81</v>
      </c>
      <c r="B57">
        <v>16904776</v>
      </c>
      <c r="C57">
        <v>16904774</v>
      </c>
      <c r="D57">
        <v>11500203</v>
      </c>
      <c r="E57">
        <v>10962768</v>
      </c>
      <c r="F57">
        <v>1</v>
      </c>
      <c r="G57">
        <v>10962768</v>
      </c>
      <c r="H57">
        <v>3</v>
      </c>
      <c r="I57" t="s">
        <v>249</v>
      </c>
      <c r="K57" t="s">
        <v>250</v>
      </c>
      <c r="L57">
        <v>1348</v>
      </c>
      <c r="N57">
        <v>1009</v>
      </c>
      <c r="O57" t="s">
        <v>48</v>
      </c>
      <c r="P57" t="s">
        <v>48</v>
      </c>
      <c r="Q57">
        <v>1000</v>
      </c>
      <c r="X57">
        <v>4.6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4.6</v>
      </c>
      <c r="AH57">
        <v>2</v>
      </c>
      <c r="AI57">
        <v>16904776</v>
      </c>
      <c r="AJ57">
        <v>56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ROW(Source!A82)</f>
        <v>82</v>
      </c>
      <c r="B58">
        <v>16905639</v>
      </c>
      <c r="C58">
        <v>16905638</v>
      </c>
      <c r="D58">
        <v>11474139</v>
      </c>
      <c r="E58">
        <v>10962768</v>
      </c>
      <c r="F58">
        <v>1</v>
      </c>
      <c r="G58">
        <v>10962768</v>
      </c>
      <c r="H58">
        <v>1</v>
      </c>
      <c r="I58" t="s">
        <v>246</v>
      </c>
      <c r="K58" t="s">
        <v>247</v>
      </c>
      <c r="L58">
        <v>1191</v>
      </c>
      <c r="N58">
        <v>1013</v>
      </c>
      <c r="O58" t="s">
        <v>248</v>
      </c>
      <c r="P58" t="s">
        <v>248</v>
      </c>
      <c r="Q58">
        <v>1</v>
      </c>
      <c r="X58">
        <v>65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1</v>
      </c>
      <c r="AF58" t="s">
        <v>31</v>
      </c>
      <c r="AG58">
        <v>81.25</v>
      </c>
      <c r="AH58">
        <v>2</v>
      </c>
      <c r="AI58">
        <v>16905639</v>
      </c>
      <c r="AJ58">
        <v>57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ROW(Source!A82)</f>
        <v>82</v>
      </c>
      <c r="B59">
        <v>16905641</v>
      </c>
      <c r="C59">
        <v>16905638</v>
      </c>
      <c r="D59">
        <v>11476092</v>
      </c>
      <c r="E59">
        <v>10962768</v>
      </c>
      <c r="F59">
        <v>1</v>
      </c>
      <c r="G59">
        <v>10962768</v>
      </c>
      <c r="H59">
        <v>2</v>
      </c>
      <c r="I59" t="s">
        <v>251</v>
      </c>
      <c r="K59" t="s">
        <v>252</v>
      </c>
      <c r="L59">
        <v>1344</v>
      </c>
      <c r="N59">
        <v>1008</v>
      </c>
      <c r="O59" t="s">
        <v>253</v>
      </c>
      <c r="P59" t="s">
        <v>253</v>
      </c>
      <c r="Q59">
        <v>1</v>
      </c>
      <c r="X59">
        <v>26.05</v>
      </c>
      <c r="Y59">
        <v>0</v>
      </c>
      <c r="Z59">
        <v>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32</v>
      </c>
      <c r="AG59">
        <v>29.9575</v>
      </c>
      <c r="AH59">
        <v>2</v>
      </c>
      <c r="AI59">
        <v>16905641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ROW(Source!A82)</f>
        <v>82</v>
      </c>
      <c r="B60">
        <v>16905640</v>
      </c>
      <c r="C60">
        <v>16905638</v>
      </c>
      <c r="D60">
        <v>11550748</v>
      </c>
      <c r="E60">
        <v>1</v>
      </c>
      <c r="F60">
        <v>1</v>
      </c>
      <c r="G60">
        <v>10962768</v>
      </c>
      <c r="H60">
        <v>2</v>
      </c>
      <c r="I60" t="s">
        <v>296</v>
      </c>
      <c r="J60" t="s">
        <v>297</v>
      </c>
      <c r="K60" t="s">
        <v>298</v>
      </c>
      <c r="L60">
        <v>1368</v>
      </c>
      <c r="N60">
        <v>1011</v>
      </c>
      <c r="O60" t="s">
        <v>258</v>
      </c>
      <c r="P60" t="s">
        <v>258</v>
      </c>
      <c r="Q60">
        <v>1</v>
      </c>
      <c r="X60">
        <v>4.7</v>
      </c>
      <c r="Y60">
        <v>0</v>
      </c>
      <c r="Z60">
        <v>52.95</v>
      </c>
      <c r="AA60">
        <v>13.2</v>
      </c>
      <c r="AB60">
        <v>0</v>
      </c>
      <c r="AC60">
        <v>0</v>
      </c>
      <c r="AD60">
        <v>1</v>
      </c>
      <c r="AE60">
        <v>0</v>
      </c>
      <c r="AF60" t="s">
        <v>32</v>
      </c>
      <c r="AG60">
        <v>5.405</v>
      </c>
      <c r="AH60">
        <v>2</v>
      </c>
      <c r="AI60">
        <v>16905640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ROW(Source!A82)</f>
        <v>82</v>
      </c>
      <c r="B61">
        <v>16905646</v>
      </c>
      <c r="C61">
        <v>16905638</v>
      </c>
      <c r="D61">
        <v>11500208</v>
      </c>
      <c r="E61">
        <v>10962768</v>
      </c>
      <c r="F61">
        <v>1</v>
      </c>
      <c r="G61">
        <v>10962768</v>
      </c>
      <c r="H61">
        <v>3</v>
      </c>
      <c r="I61" t="s">
        <v>249</v>
      </c>
      <c r="K61" t="s">
        <v>254</v>
      </c>
      <c r="L61">
        <v>1344</v>
      </c>
      <c r="N61">
        <v>1008</v>
      </c>
      <c r="O61" t="s">
        <v>253</v>
      </c>
      <c r="P61" t="s">
        <v>253</v>
      </c>
      <c r="Q61">
        <v>1</v>
      </c>
      <c r="X61">
        <v>2.25</v>
      </c>
      <c r="Y61">
        <v>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2.25</v>
      </c>
      <c r="AH61">
        <v>2</v>
      </c>
      <c r="AI61">
        <v>16905646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ROW(Source!A82)</f>
        <v>82</v>
      </c>
      <c r="B62">
        <v>16905642</v>
      </c>
      <c r="C62">
        <v>16905638</v>
      </c>
      <c r="D62">
        <v>11474148</v>
      </c>
      <c r="E62">
        <v>10962768</v>
      </c>
      <c r="F62">
        <v>1</v>
      </c>
      <c r="G62">
        <v>10962768</v>
      </c>
      <c r="H62">
        <v>3</v>
      </c>
      <c r="I62" t="s">
        <v>333</v>
      </c>
      <c r="K62" t="s">
        <v>334</v>
      </c>
      <c r="L62">
        <v>1339</v>
      </c>
      <c r="N62">
        <v>1007</v>
      </c>
      <c r="O62" t="s">
        <v>90</v>
      </c>
      <c r="P62" t="s">
        <v>90</v>
      </c>
      <c r="Q62">
        <v>1</v>
      </c>
      <c r="X62">
        <v>0.084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>
        <v>0.084</v>
      </c>
      <c r="AH62">
        <v>3</v>
      </c>
      <c r="AI62">
        <v>-1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ROW(Source!A82)</f>
        <v>82</v>
      </c>
      <c r="B63">
        <v>16905643</v>
      </c>
      <c r="C63">
        <v>16905638</v>
      </c>
      <c r="D63">
        <v>15379489</v>
      </c>
      <c r="E63">
        <v>1</v>
      </c>
      <c r="F63">
        <v>1</v>
      </c>
      <c r="G63">
        <v>10962768</v>
      </c>
      <c r="H63">
        <v>3</v>
      </c>
      <c r="I63" t="s">
        <v>299</v>
      </c>
      <c r="J63" t="s">
        <v>300</v>
      </c>
      <c r="K63" t="s">
        <v>301</v>
      </c>
      <c r="L63">
        <v>1327</v>
      </c>
      <c r="N63">
        <v>1005</v>
      </c>
      <c r="O63" t="s">
        <v>43</v>
      </c>
      <c r="P63" t="s">
        <v>43</v>
      </c>
      <c r="Q63">
        <v>1</v>
      </c>
      <c r="X63">
        <v>2.77</v>
      </c>
      <c r="Y63">
        <v>33.56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2.77</v>
      </c>
      <c r="AH63">
        <v>2</v>
      </c>
      <c r="AI63">
        <v>16905643</v>
      </c>
      <c r="AJ63">
        <v>61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ROW(Source!A82)</f>
        <v>82</v>
      </c>
      <c r="B64">
        <v>16905644</v>
      </c>
      <c r="C64">
        <v>16905638</v>
      </c>
      <c r="D64">
        <v>11495930</v>
      </c>
      <c r="E64">
        <v>10962768</v>
      </c>
      <c r="F64">
        <v>1</v>
      </c>
      <c r="G64">
        <v>10962768</v>
      </c>
      <c r="H64">
        <v>3</v>
      </c>
      <c r="I64" t="s">
        <v>335</v>
      </c>
      <c r="K64" t="s">
        <v>336</v>
      </c>
      <c r="L64">
        <v>1348</v>
      </c>
      <c r="N64">
        <v>1009</v>
      </c>
      <c r="O64" t="s">
        <v>48</v>
      </c>
      <c r="P64" t="s">
        <v>48</v>
      </c>
      <c r="Q64">
        <v>1000</v>
      </c>
      <c r="X64">
        <v>0.48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G64">
        <v>0.48</v>
      </c>
      <c r="AH64">
        <v>3</v>
      </c>
      <c r="AI64">
        <v>-1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ROW(Source!A82)</f>
        <v>82</v>
      </c>
      <c r="B65">
        <v>16905645</v>
      </c>
      <c r="C65">
        <v>16905638</v>
      </c>
      <c r="D65">
        <v>11496125</v>
      </c>
      <c r="E65">
        <v>10962768</v>
      </c>
      <c r="F65">
        <v>1</v>
      </c>
      <c r="G65">
        <v>10962768</v>
      </c>
      <c r="H65">
        <v>3</v>
      </c>
      <c r="I65" t="s">
        <v>337</v>
      </c>
      <c r="K65" t="s">
        <v>338</v>
      </c>
      <c r="L65">
        <v>1339</v>
      </c>
      <c r="N65">
        <v>1007</v>
      </c>
      <c r="O65" t="s">
        <v>90</v>
      </c>
      <c r="P65" t="s">
        <v>90</v>
      </c>
      <c r="Q65">
        <v>1</v>
      </c>
      <c r="X65">
        <v>1.208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G65">
        <v>1.208</v>
      </c>
      <c r="AH65">
        <v>3</v>
      </c>
      <c r="AI65">
        <v>-1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ROW(Source!A85)</f>
        <v>85</v>
      </c>
      <c r="B66">
        <v>16905657</v>
      </c>
      <c r="C66">
        <v>16905656</v>
      </c>
      <c r="D66">
        <v>11474139</v>
      </c>
      <c r="E66">
        <v>10962768</v>
      </c>
      <c r="F66">
        <v>1</v>
      </c>
      <c r="G66">
        <v>10962768</v>
      </c>
      <c r="H66">
        <v>1</v>
      </c>
      <c r="I66" t="s">
        <v>246</v>
      </c>
      <c r="K66" t="s">
        <v>247</v>
      </c>
      <c r="L66">
        <v>1191</v>
      </c>
      <c r="N66">
        <v>1013</v>
      </c>
      <c r="O66" t="s">
        <v>248</v>
      </c>
      <c r="P66" t="s">
        <v>248</v>
      </c>
      <c r="Q66">
        <v>1</v>
      </c>
      <c r="X66">
        <v>13.8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 t="s">
        <v>31</v>
      </c>
      <c r="AG66">
        <v>17.25</v>
      </c>
      <c r="AH66">
        <v>2</v>
      </c>
      <c r="AI66">
        <v>16905657</v>
      </c>
      <c r="AJ66">
        <v>64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ROW(Source!A85)</f>
        <v>85</v>
      </c>
      <c r="B67">
        <v>16905658</v>
      </c>
      <c r="C67">
        <v>16905656</v>
      </c>
      <c r="D67">
        <v>11476092</v>
      </c>
      <c r="E67">
        <v>10962768</v>
      </c>
      <c r="F67">
        <v>1</v>
      </c>
      <c r="G67">
        <v>10962768</v>
      </c>
      <c r="H67">
        <v>2</v>
      </c>
      <c r="I67" t="s">
        <v>251</v>
      </c>
      <c r="K67" t="s">
        <v>252</v>
      </c>
      <c r="L67">
        <v>1344</v>
      </c>
      <c r="N67">
        <v>1008</v>
      </c>
      <c r="O67" t="s">
        <v>253</v>
      </c>
      <c r="P67" t="s">
        <v>253</v>
      </c>
      <c r="Q67">
        <v>1</v>
      </c>
      <c r="X67">
        <v>16.38</v>
      </c>
      <c r="Y67">
        <v>0</v>
      </c>
      <c r="Z67">
        <v>1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32</v>
      </c>
      <c r="AG67">
        <v>18.836999999999996</v>
      </c>
      <c r="AH67">
        <v>2</v>
      </c>
      <c r="AI67">
        <v>16905658</v>
      </c>
      <c r="AJ67">
        <v>65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ROW(Source!A85)</f>
        <v>85</v>
      </c>
      <c r="B68">
        <v>16905662</v>
      </c>
      <c r="C68">
        <v>16905656</v>
      </c>
      <c r="D68">
        <v>11500208</v>
      </c>
      <c r="E68">
        <v>10962768</v>
      </c>
      <c r="F68">
        <v>1</v>
      </c>
      <c r="G68">
        <v>10962768</v>
      </c>
      <c r="H68">
        <v>3</v>
      </c>
      <c r="I68" t="s">
        <v>249</v>
      </c>
      <c r="K68" t="s">
        <v>254</v>
      </c>
      <c r="L68">
        <v>1344</v>
      </c>
      <c r="N68">
        <v>1008</v>
      </c>
      <c r="O68" t="s">
        <v>253</v>
      </c>
      <c r="P68" t="s">
        <v>253</v>
      </c>
      <c r="Q68">
        <v>1</v>
      </c>
      <c r="X68">
        <v>1.19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1.19</v>
      </c>
      <c r="AH68">
        <v>2</v>
      </c>
      <c r="AI68">
        <v>16905662</v>
      </c>
      <c r="AJ68">
        <v>66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ROW(Source!A85)</f>
        <v>85</v>
      </c>
      <c r="B69">
        <v>16905659</v>
      </c>
      <c r="C69">
        <v>16905656</v>
      </c>
      <c r="D69">
        <v>11480316</v>
      </c>
      <c r="E69">
        <v>10962768</v>
      </c>
      <c r="F69">
        <v>1</v>
      </c>
      <c r="G69">
        <v>10962768</v>
      </c>
      <c r="H69">
        <v>3</v>
      </c>
      <c r="I69" t="s">
        <v>321</v>
      </c>
      <c r="K69" t="s">
        <v>322</v>
      </c>
      <c r="L69">
        <v>1348</v>
      </c>
      <c r="N69">
        <v>1009</v>
      </c>
      <c r="O69" t="s">
        <v>48</v>
      </c>
      <c r="P69" t="s">
        <v>48</v>
      </c>
      <c r="Q69">
        <v>1000</v>
      </c>
      <c r="X69">
        <v>0.0055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G69">
        <v>0.0055</v>
      </c>
      <c r="AH69">
        <v>3</v>
      </c>
      <c r="AI69">
        <v>-1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ROW(Source!A85)</f>
        <v>85</v>
      </c>
      <c r="B70">
        <v>16905660</v>
      </c>
      <c r="C70">
        <v>16905656</v>
      </c>
      <c r="D70">
        <v>11480543</v>
      </c>
      <c r="E70">
        <v>10962768</v>
      </c>
      <c r="F70">
        <v>1</v>
      </c>
      <c r="G70">
        <v>10962768</v>
      </c>
      <c r="H70">
        <v>3</v>
      </c>
      <c r="I70" t="s">
        <v>329</v>
      </c>
      <c r="K70" t="s">
        <v>330</v>
      </c>
      <c r="L70">
        <v>1346</v>
      </c>
      <c r="N70">
        <v>1009</v>
      </c>
      <c r="O70" t="s">
        <v>106</v>
      </c>
      <c r="P70" t="s">
        <v>106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G70">
        <v>0</v>
      </c>
      <c r="AH70">
        <v>3</v>
      </c>
      <c r="AI70">
        <v>-1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ROW(Source!A85)</f>
        <v>85</v>
      </c>
      <c r="B71">
        <v>16905661</v>
      </c>
      <c r="C71">
        <v>16905656</v>
      </c>
      <c r="D71">
        <v>11480661</v>
      </c>
      <c r="E71">
        <v>10962768</v>
      </c>
      <c r="F71">
        <v>1</v>
      </c>
      <c r="G71">
        <v>10962768</v>
      </c>
      <c r="H71">
        <v>3</v>
      </c>
      <c r="I71" t="s">
        <v>331</v>
      </c>
      <c r="K71" t="s">
        <v>332</v>
      </c>
      <c r="L71">
        <v>1348</v>
      </c>
      <c r="N71">
        <v>1009</v>
      </c>
      <c r="O71" t="s">
        <v>48</v>
      </c>
      <c r="P71" t="s">
        <v>48</v>
      </c>
      <c r="Q71">
        <v>1000</v>
      </c>
      <c r="X71">
        <v>0.052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G71">
        <v>0.052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ROW(Source!A114)</f>
        <v>114</v>
      </c>
      <c r="B72">
        <v>16905282</v>
      </c>
      <c r="C72">
        <v>16905281</v>
      </c>
      <c r="D72">
        <v>11474139</v>
      </c>
      <c r="E72">
        <v>10962768</v>
      </c>
      <c r="F72">
        <v>1</v>
      </c>
      <c r="G72">
        <v>10962768</v>
      </c>
      <c r="H72">
        <v>1</v>
      </c>
      <c r="I72" t="s">
        <v>246</v>
      </c>
      <c r="K72" t="s">
        <v>247</v>
      </c>
      <c r="L72">
        <v>1191</v>
      </c>
      <c r="N72">
        <v>1013</v>
      </c>
      <c r="O72" t="s">
        <v>248</v>
      </c>
      <c r="P72" t="s">
        <v>248</v>
      </c>
      <c r="Q72">
        <v>1</v>
      </c>
      <c r="X72">
        <v>41.5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1</v>
      </c>
      <c r="AF72" t="s">
        <v>217</v>
      </c>
      <c r="AG72">
        <v>24.9</v>
      </c>
      <c r="AH72">
        <v>2</v>
      </c>
      <c r="AI72">
        <v>16905282</v>
      </c>
      <c r="AJ72">
        <v>69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ROW(Source!A114)</f>
        <v>114</v>
      </c>
      <c r="B73">
        <v>16905283</v>
      </c>
      <c r="C73">
        <v>16905281</v>
      </c>
      <c r="D73">
        <v>11476092</v>
      </c>
      <c r="E73">
        <v>10962768</v>
      </c>
      <c r="F73">
        <v>1</v>
      </c>
      <c r="G73">
        <v>10962768</v>
      </c>
      <c r="H73">
        <v>2</v>
      </c>
      <c r="I73" t="s">
        <v>251</v>
      </c>
      <c r="K73" t="s">
        <v>252</v>
      </c>
      <c r="L73">
        <v>1344</v>
      </c>
      <c r="N73">
        <v>1008</v>
      </c>
      <c r="O73" t="s">
        <v>253</v>
      </c>
      <c r="P73" t="s">
        <v>253</v>
      </c>
      <c r="Q73">
        <v>1</v>
      </c>
      <c r="X73">
        <v>81.14</v>
      </c>
      <c r="Y73">
        <v>0</v>
      </c>
      <c r="Z73">
        <v>1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217</v>
      </c>
      <c r="AG73">
        <v>48.684</v>
      </c>
      <c r="AH73">
        <v>2</v>
      </c>
      <c r="AI73">
        <v>16905283</v>
      </c>
      <c r="AJ73">
        <v>70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ROW(Source!A114)</f>
        <v>114</v>
      </c>
      <c r="B74">
        <v>16905284</v>
      </c>
      <c r="C74">
        <v>16905281</v>
      </c>
      <c r="D74">
        <v>11491847</v>
      </c>
      <c r="E74">
        <v>10962768</v>
      </c>
      <c r="F74">
        <v>1</v>
      </c>
      <c r="G74">
        <v>10962768</v>
      </c>
      <c r="H74">
        <v>3</v>
      </c>
      <c r="I74" t="s">
        <v>339</v>
      </c>
      <c r="K74" t="s">
        <v>340</v>
      </c>
      <c r="L74">
        <v>1348</v>
      </c>
      <c r="N74">
        <v>1009</v>
      </c>
      <c r="O74" t="s">
        <v>48</v>
      </c>
      <c r="P74" t="s">
        <v>48</v>
      </c>
      <c r="Q74">
        <v>1000</v>
      </c>
      <c r="X74">
        <v>2.09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G74">
        <v>2.09</v>
      </c>
      <c r="AH74">
        <v>3</v>
      </c>
      <c r="AI74">
        <v>-1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ROW(Source!A114)</f>
        <v>114</v>
      </c>
      <c r="B75">
        <v>16905285</v>
      </c>
      <c r="C75">
        <v>16905281</v>
      </c>
      <c r="D75">
        <v>11495535</v>
      </c>
      <c r="E75">
        <v>10962768</v>
      </c>
      <c r="F75">
        <v>1</v>
      </c>
      <c r="G75">
        <v>10962768</v>
      </c>
      <c r="H75">
        <v>3</v>
      </c>
      <c r="I75" t="s">
        <v>341</v>
      </c>
      <c r="K75" t="s">
        <v>342</v>
      </c>
      <c r="L75">
        <v>1348</v>
      </c>
      <c r="N75">
        <v>1009</v>
      </c>
      <c r="O75" t="s">
        <v>48</v>
      </c>
      <c r="P75" t="s">
        <v>48</v>
      </c>
      <c r="Q75">
        <v>1000</v>
      </c>
      <c r="X75">
        <v>0.15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0.15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ROW(Source!A115)</f>
        <v>115</v>
      </c>
      <c r="B76">
        <v>16905292</v>
      </c>
      <c r="C76">
        <v>16905291</v>
      </c>
      <c r="D76">
        <v>11474139</v>
      </c>
      <c r="E76">
        <v>10962768</v>
      </c>
      <c r="F76">
        <v>1</v>
      </c>
      <c r="G76">
        <v>10962768</v>
      </c>
      <c r="H76">
        <v>1</v>
      </c>
      <c r="I76" t="s">
        <v>246</v>
      </c>
      <c r="K76" t="s">
        <v>247</v>
      </c>
      <c r="L76">
        <v>1191</v>
      </c>
      <c r="N76">
        <v>1013</v>
      </c>
      <c r="O76" t="s">
        <v>248</v>
      </c>
      <c r="P76" t="s">
        <v>248</v>
      </c>
      <c r="Q76">
        <v>1</v>
      </c>
      <c r="X76">
        <v>532.3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G76">
        <v>532.3</v>
      </c>
      <c r="AH76">
        <v>2</v>
      </c>
      <c r="AI76">
        <v>16905292</v>
      </c>
      <c r="AJ76">
        <v>71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ROW(Source!A115)</f>
        <v>115</v>
      </c>
      <c r="B77">
        <v>16905293</v>
      </c>
      <c r="C77">
        <v>16905291</v>
      </c>
      <c r="D77">
        <v>11500203</v>
      </c>
      <c r="E77">
        <v>10962768</v>
      </c>
      <c r="F77">
        <v>1</v>
      </c>
      <c r="G77">
        <v>10962768</v>
      </c>
      <c r="H77">
        <v>3</v>
      </c>
      <c r="I77" t="s">
        <v>249</v>
      </c>
      <c r="K77" t="s">
        <v>250</v>
      </c>
      <c r="L77">
        <v>1348</v>
      </c>
      <c r="N77">
        <v>1009</v>
      </c>
      <c r="O77" t="s">
        <v>48</v>
      </c>
      <c r="P77" t="s">
        <v>48</v>
      </c>
      <c r="Q77">
        <v>1000</v>
      </c>
      <c r="X77">
        <v>19.3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19.3</v>
      </c>
      <c r="AH77">
        <v>2</v>
      </c>
      <c r="AI77">
        <v>16905293</v>
      </c>
      <c r="AJ77">
        <v>72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ROW(Source!A116)</f>
        <v>116</v>
      </c>
      <c r="B78">
        <v>16905426</v>
      </c>
      <c r="C78">
        <v>16905297</v>
      </c>
      <c r="D78">
        <v>11474139</v>
      </c>
      <c r="E78">
        <v>10962768</v>
      </c>
      <c r="F78">
        <v>1</v>
      </c>
      <c r="G78">
        <v>10962768</v>
      </c>
      <c r="H78">
        <v>1</v>
      </c>
      <c r="I78" t="s">
        <v>246</v>
      </c>
      <c r="K78" t="s">
        <v>247</v>
      </c>
      <c r="L78">
        <v>1191</v>
      </c>
      <c r="N78">
        <v>1013</v>
      </c>
      <c r="O78" t="s">
        <v>248</v>
      </c>
      <c r="P78" t="s">
        <v>248</v>
      </c>
      <c r="Q78">
        <v>1</v>
      </c>
      <c r="X78">
        <v>1391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1</v>
      </c>
      <c r="AF78" t="s">
        <v>32</v>
      </c>
      <c r="AG78">
        <v>1599.65</v>
      </c>
      <c r="AH78">
        <v>2</v>
      </c>
      <c r="AI78">
        <v>16905426</v>
      </c>
      <c r="AJ78">
        <v>73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ROW(Source!A116)</f>
        <v>116</v>
      </c>
      <c r="B79">
        <v>16905428</v>
      </c>
      <c r="C79">
        <v>16905297</v>
      </c>
      <c r="D79">
        <v>11476092</v>
      </c>
      <c r="E79">
        <v>10962768</v>
      </c>
      <c r="F79">
        <v>1</v>
      </c>
      <c r="G79">
        <v>10962768</v>
      </c>
      <c r="H79">
        <v>2</v>
      </c>
      <c r="I79" t="s">
        <v>251</v>
      </c>
      <c r="K79" t="s">
        <v>252</v>
      </c>
      <c r="L79">
        <v>1344</v>
      </c>
      <c r="N79">
        <v>1008</v>
      </c>
      <c r="O79" t="s">
        <v>253</v>
      </c>
      <c r="P79" t="s">
        <v>253</v>
      </c>
      <c r="Q79">
        <v>1</v>
      </c>
      <c r="X79">
        <v>131.73</v>
      </c>
      <c r="Y79">
        <v>0</v>
      </c>
      <c r="Z79">
        <v>1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31</v>
      </c>
      <c r="AG79">
        <v>164.6625</v>
      </c>
      <c r="AH79">
        <v>2</v>
      </c>
      <c r="AI79">
        <v>16905428</v>
      </c>
      <c r="AJ79">
        <v>74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ROW(Source!A116)</f>
        <v>116</v>
      </c>
      <c r="B80">
        <v>16905427</v>
      </c>
      <c r="C80">
        <v>16905297</v>
      </c>
      <c r="D80">
        <v>11551216</v>
      </c>
      <c r="E80">
        <v>1</v>
      </c>
      <c r="F80">
        <v>1</v>
      </c>
      <c r="G80">
        <v>10962768</v>
      </c>
      <c r="H80">
        <v>2</v>
      </c>
      <c r="I80" t="s">
        <v>302</v>
      </c>
      <c r="J80" t="s">
        <v>303</v>
      </c>
      <c r="K80" t="s">
        <v>304</v>
      </c>
      <c r="L80">
        <v>1368</v>
      </c>
      <c r="N80">
        <v>1011</v>
      </c>
      <c r="O80" t="s">
        <v>258</v>
      </c>
      <c r="P80" t="s">
        <v>258</v>
      </c>
      <c r="Q80">
        <v>1</v>
      </c>
      <c r="X80">
        <v>206.51</v>
      </c>
      <c r="Y80">
        <v>0</v>
      </c>
      <c r="Z80">
        <v>6.43</v>
      </c>
      <c r="AA80">
        <v>0.09</v>
      </c>
      <c r="AB80">
        <v>0</v>
      </c>
      <c r="AC80">
        <v>0</v>
      </c>
      <c r="AD80">
        <v>1</v>
      </c>
      <c r="AE80">
        <v>0</v>
      </c>
      <c r="AF80" t="s">
        <v>31</v>
      </c>
      <c r="AG80">
        <v>258.1375</v>
      </c>
      <c r="AH80">
        <v>2</v>
      </c>
      <c r="AI80">
        <v>16905427</v>
      </c>
      <c r="AJ80">
        <v>75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ROW(Source!A116)</f>
        <v>116</v>
      </c>
      <c r="B81">
        <v>16905432</v>
      </c>
      <c r="C81">
        <v>16905297</v>
      </c>
      <c r="D81">
        <v>11500208</v>
      </c>
      <c r="E81">
        <v>10962768</v>
      </c>
      <c r="F81">
        <v>1</v>
      </c>
      <c r="G81">
        <v>10962768</v>
      </c>
      <c r="H81">
        <v>3</v>
      </c>
      <c r="I81" t="s">
        <v>249</v>
      </c>
      <c r="K81" t="s">
        <v>254</v>
      </c>
      <c r="L81">
        <v>1344</v>
      </c>
      <c r="N81">
        <v>1008</v>
      </c>
      <c r="O81" t="s">
        <v>253</v>
      </c>
      <c r="P81" t="s">
        <v>253</v>
      </c>
      <c r="Q81">
        <v>1</v>
      </c>
      <c r="X81">
        <v>1623.16</v>
      </c>
      <c r="Y81">
        <v>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1623.16</v>
      </c>
      <c r="AH81">
        <v>2</v>
      </c>
      <c r="AI81">
        <v>16905432</v>
      </c>
      <c r="AJ81">
        <v>76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ROW(Source!A116)</f>
        <v>116</v>
      </c>
      <c r="B82">
        <v>16905429</v>
      </c>
      <c r="C82">
        <v>16905297</v>
      </c>
      <c r="D82">
        <v>11555020</v>
      </c>
      <c r="E82">
        <v>1</v>
      </c>
      <c r="F82">
        <v>1</v>
      </c>
      <c r="G82">
        <v>10962768</v>
      </c>
      <c r="H82">
        <v>3</v>
      </c>
      <c r="I82" t="s">
        <v>305</v>
      </c>
      <c r="J82" t="s">
        <v>306</v>
      </c>
      <c r="K82" t="s">
        <v>307</v>
      </c>
      <c r="L82">
        <v>1339</v>
      </c>
      <c r="N82">
        <v>1007</v>
      </c>
      <c r="O82" t="s">
        <v>90</v>
      </c>
      <c r="P82" t="s">
        <v>90</v>
      </c>
      <c r="Q82">
        <v>1</v>
      </c>
      <c r="X82">
        <v>3.6</v>
      </c>
      <c r="Y82">
        <v>478.96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3.6</v>
      </c>
      <c r="AH82">
        <v>2</v>
      </c>
      <c r="AI82">
        <v>16905429</v>
      </c>
      <c r="AJ82">
        <v>78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ROW(Source!A116)</f>
        <v>116</v>
      </c>
      <c r="B83">
        <v>16905430</v>
      </c>
      <c r="C83">
        <v>16905297</v>
      </c>
      <c r="D83">
        <v>11487862</v>
      </c>
      <c r="E83">
        <v>10962768</v>
      </c>
      <c r="F83">
        <v>1</v>
      </c>
      <c r="G83">
        <v>10962768</v>
      </c>
      <c r="H83">
        <v>3</v>
      </c>
      <c r="I83" t="s">
        <v>343</v>
      </c>
      <c r="K83" t="s">
        <v>344</v>
      </c>
      <c r="L83">
        <v>1354</v>
      </c>
      <c r="N83">
        <v>1010</v>
      </c>
      <c r="O83" t="s">
        <v>230</v>
      </c>
      <c r="P83" t="s">
        <v>230</v>
      </c>
      <c r="Q83">
        <v>1</v>
      </c>
      <c r="X83">
        <v>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G83">
        <v>4</v>
      </c>
      <c r="AH83">
        <v>3</v>
      </c>
      <c r="AI83">
        <v>-1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ROW(Source!A116)</f>
        <v>116</v>
      </c>
      <c r="B84">
        <v>16905431</v>
      </c>
      <c r="C84">
        <v>16905297</v>
      </c>
      <c r="D84">
        <v>11494917</v>
      </c>
      <c r="E84">
        <v>10962768</v>
      </c>
      <c r="F84">
        <v>1</v>
      </c>
      <c r="G84">
        <v>10962768</v>
      </c>
      <c r="H84">
        <v>3</v>
      </c>
      <c r="I84" t="s">
        <v>345</v>
      </c>
      <c r="K84" t="s">
        <v>346</v>
      </c>
      <c r="L84">
        <v>1327</v>
      </c>
      <c r="N84">
        <v>1005</v>
      </c>
      <c r="O84" t="s">
        <v>43</v>
      </c>
      <c r="P84" t="s">
        <v>43</v>
      </c>
      <c r="Q84">
        <v>1</v>
      </c>
      <c r="X84">
        <v>102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G84">
        <v>102</v>
      </c>
      <c r="AH84">
        <v>3</v>
      </c>
      <c r="AI84">
        <v>-1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ROW(Source!A119)</f>
        <v>119</v>
      </c>
      <c r="B85">
        <v>16905517</v>
      </c>
      <c r="C85">
        <v>16905516</v>
      </c>
      <c r="D85">
        <v>11474139</v>
      </c>
      <c r="E85">
        <v>10962768</v>
      </c>
      <c r="F85">
        <v>1</v>
      </c>
      <c r="G85">
        <v>10962768</v>
      </c>
      <c r="H85">
        <v>1</v>
      </c>
      <c r="I85" t="s">
        <v>246</v>
      </c>
      <c r="K85" t="s">
        <v>247</v>
      </c>
      <c r="L85">
        <v>1191</v>
      </c>
      <c r="N85">
        <v>1013</v>
      </c>
      <c r="O85" t="s">
        <v>248</v>
      </c>
      <c r="P85" t="s">
        <v>248</v>
      </c>
      <c r="Q85">
        <v>1</v>
      </c>
      <c r="X85">
        <v>41.5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1</v>
      </c>
      <c r="AF85" t="s">
        <v>32</v>
      </c>
      <c r="AG85">
        <v>47.725</v>
      </c>
      <c r="AH85">
        <v>2</v>
      </c>
      <c r="AI85">
        <v>16905517</v>
      </c>
      <c r="AJ85">
        <v>80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ROW(Source!A119)</f>
        <v>119</v>
      </c>
      <c r="B86">
        <v>16905518</v>
      </c>
      <c r="C86">
        <v>16905516</v>
      </c>
      <c r="D86">
        <v>11476092</v>
      </c>
      <c r="E86">
        <v>10962768</v>
      </c>
      <c r="F86">
        <v>1</v>
      </c>
      <c r="G86">
        <v>10962768</v>
      </c>
      <c r="H86">
        <v>2</v>
      </c>
      <c r="I86" t="s">
        <v>251</v>
      </c>
      <c r="K86" t="s">
        <v>252</v>
      </c>
      <c r="L86">
        <v>1344</v>
      </c>
      <c r="N86">
        <v>1008</v>
      </c>
      <c r="O86" t="s">
        <v>253</v>
      </c>
      <c r="P86" t="s">
        <v>253</v>
      </c>
      <c r="Q86">
        <v>1</v>
      </c>
      <c r="X86">
        <v>81.14</v>
      </c>
      <c r="Y86">
        <v>0</v>
      </c>
      <c r="Z86">
        <v>1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31</v>
      </c>
      <c r="AG86">
        <v>101.425</v>
      </c>
      <c r="AH86">
        <v>2</v>
      </c>
      <c r="AI86">
        <v>16905518</v>
      </c>
      <c r="AJ86">
        <v>81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ROW(Source!A119)</f>
        <v>119</v>
      </c>
      <c r="B87">
        <v>16905519</v>
      </c>
      <c r="C87">
        <v>16905516</v>
      </c>
      <c r="D87">
        <v>11491847</v>
      </c>
      <c r="E87">
        <v>10962768</v>
      </c>
      <c r="F87">
        <v>1</v>
      </c>
      <c r="G87">
        <v>10962768</v>
      </c>
      <c r="H87">
        <v>3</v>
      </c>
      <c r="I87" t="s">
        <v>339</v>
      </c>
      <c r="K87" t="s">
        <v>340</v>
      </c>
      <c r="L87">
        <v>1348</v>
      </c>
      <c r="N87">
        <v>1009</v>
      </c>
      <c r="O87" t="s">
        <v>48</v>
      </c>
      <c r="P87" t="s">
        <v>48</v>
      </c>
      <c r="Q87">
        <v>1000</v>
      </c>
      <c r="X87">
        <v>2.09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G87">
        <v>2.09</v>
      </c>
      <c r="AH87">
        <v>3</v>
      </c>
      <c r="AI87">
        <v>-1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ROW(Source!A119)</f>
        <v>119</v>
      </c>
      <c r="B88">
        <v>16905520</v>
      </c>
      <c r="C88">
        <v>16905516</v>
      </c>
      <c r="D88">
        <v>11495535</v>
      </c>
      <c r="E88">
        <v>10962768</v>
      </c>
      <c r="F88">
        <v>1</v>
      </c>
      <c r="G88">
        <v>10962768</v>
      </c>
      <c r="H88">
        <v>3</v>
      </c>
      <c r="I88" t="s">
        <v>341</v>
      </c>
      <c r="K88" t="s">
        <v>342</v>
      </c>
      <c r="L88">
        <v>1348</v>
      </c>
      <c r="N88">
        <v>1009</v>
      </c>
      <c r="O88" t="s">
        <v>48</v>
      </c>
      <c r="P88" t="s">
        <v>48</v>
      </c>
      <c r="Q88">
        <v>1000</v>
      </c>
      <c r="X88">
        <v>0.15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G88">
        <v>0.15</v>
      </c>
      <c r="AH88">
        <v>3</v>
      </c>
      <c r="AI88">
        <v>-1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2013-06-25T09:46:06Z</cp:lastPrinted>
  <dcterms:created xsi:type="dcterms:W3CDTF">2013-06-25T08:51:08Z</dcterms:created>
  <dcterms:modified xsi:type="dcterms:W3CDTF">2013-06-25T09:47:41Z</dcterms:modified>
  <cp:category/>
  <cp:version/>
  <cp:contentType/>
  <cp:contentStatus/>
</cp:coreProperties>
</file>